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27375" windowHeight="14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'Sheet1'!$A$1:$I$63</definedName>
  </definedNames>
  <calcPr fullCalcOnLoad="1"/>
</workbook>
</file>

<file path=xl/sharedStrings.xml><?xml version="1.0" encoding="utf-8"?>
<sst xmlns="http://schemas.openxmlformats.org/spreadsheetml/2006/main" count="299" uniqueCount="119">
  <si>
    <t>MPH</t>
  </si>
  <si>
    <t>Roof Eve Height</t>
  </si>
  <si>
    <t>Peak Roof Height</t>
  </si>
  <si>
    <t>FT</t>
  </si>
  <si>
    <t>Mean Roof Height</t>
  </si>
  <si>
    <t>Terrain Exp. Category</t>
  </si>
  <si>
    <t>Job#:</t>
  </si>
  <si>
    <t>Roof Pitch</t>
  </si>
  <si>
    <t>:12</t>
  </si>
  <si>
    <t>WIND</t>
  </si>
  <si>
    <t>Analytic Directional Procedure</t>
  </si>
  <si>
    <t>Basic Wind Speed (ultimate)</t>
  </si>
  <si>
    <t>Topography Factor</t>
  </si>
  <si>
    <t>ASCE 7-10 Fig. 26.8-1</t>
  </si>
  <si>
    <t>Wind Analysis Method</t>
  </si>
  <si>
    <t>Directionality Factor</t>
  </si>
  <si>
    <t>ASCE 7-10 Fig. 26.6-1</t>
  </si>
  <si>
    <t>Velocity Pressures</t>
  </si>
  <si>
    <t>Height (ft)</t>
  </si>
  <si>
    <t>h =</t>
  </si>
  <si>
    <t>z =</t>
  </si>
  <si>
    <t>Gust Effect Factor</t>
  </si>
  <si>
    <t>G =</t>
  </si>
  <si>
    <t>ASCE 7-10 Sec. 26.9.1</t>
  </si>
  <si>
    <t>ASCE 7-10 Table 26.11-1</t>
  </si>
  <si>
    <t>Internal Pressure Coefficients</t>
  </si>
  <si>
    <t>Design Pressures</t>
  </si>
  <si>
    <t>Longitudinal Direction:</t>
  </si>
  <si>
    <t>Transverse Direction:</t>
  </si>
  <si>
    <t>Windward Wall</t>
  </si>
  <si>
    <t>Leeward Wall</t>
  </si>
  <si>
    <t>L =</t>
  </si>
  <si>
    <t>L/B =</t>
  </si>
  <si>
    <t>h/L =</t>
  </si>
  <si>
    <t>B =</t>
  </si>
  <si>
    <t>z (ft)</t>
  </si>
  <si>
    <t>Cp</t>
  </si>
  <si>
    <t>Design Pressure (psf)</t>
  </si>
  <si>
    <t>Side Wall</t>
  </si>
  <si>
    <t>Leeward Roof</t>
  </si>
  <si>
    <t>Ridge Parallel Roof</t>
  </si>
  <si>
    <t>(0 to h/2)</t>
  </si>
  <si>
    <t>(h/2 to h)</t>
  </si>
  <si>
    <t>(h to 2h)</t>
  </si>
  <si>
    <t>(&gt;h2)</t>
  </si>
  <si>
    <t>DEG</t>
  </si>
  <si>
    <t>(+GCpi)</t>
  </si>
  <si>
    <t>(-GCpi)</t>
  </si>
  <si>
    <t>Windward Roof (Positive)</t>
  </si>
  <si>
    <t>Windward Roof (Negative)</t>
  </si>
  <si>
    <t>Overhangs:</t>
  </si>
  <si>
    <r>
      <t>K</t>
    </r>
    <r>
      <rPr>
        <sz val="7"/>
        <rFont val="Arial"/>
        <family val="2"/>
      </rPr>
      <t>zt</t>
    </r>
    <r>
      <rPr>
        <sz val="8"/>
        <rFont val="Arial"/>
        <family val="2"/>
      </rPr>
      <t xml:space="preserve"> =</t>
    </r>
  </si>
  <si>
    <r>
      <t>K</t>
    </r>
    <r>
      <rPr>
        <sz val="7"/>
        <rFont val="Arial"/>
        <family val="2"/>
      </rPr>
      <t>d</t>
    </r>
    <r>
      <rPr>
        <sz val="8"/>
        <rFont val="Arial"/>
        <family val="2"/>
      </rPr>
      <t xml:space="preserve"> =</t>
    </r>
  </si>
  <si>
    <r>
      <t>(GC</t>
    </r>
    <r>
      <rPr>
        <sz val="7"/>
        <rFont val="Arial"/>
        <family val="2"/>
      </rPr>
      <t>pi</t>
    </r>
    <r>
      <rPr>
        <sz val="8"/>
        <rFont val="Arial"/>
        <family val="2"/>
      </rPr>
      <t>) =</t>
    </r>
  </si>
  <si>
    <r>
      <t>K</t>
    </r>
    <r>
      <rPr>
        <sz val="7"/>
        <rFont val="Arial"/>
        <family val="2"/>
      </rPr>
      <t>z</t>
    </r>
  </si>
  <si>
    <r>
      <t>q</t>
    </r>
    <r>
      <rPr>
        <sz val="7"/>
        <rFont val="Arial"/>
        <family val="2"/>
      </rPr>
      <t>z</t>
    </r>
  </si>
  <si>
    <r>
      <t>qGC</t>
    </r>
    <r>
      <rPr>
        <sz val="7"/>
        <rFont val="Arial"/>
        <family val="2"/>
      </rPr>
      <t>p</t>
    </r>
  </si>
  <si>
    <r>
      <t>q</t>
    </r>
    <r>
      <rPr>
        <i/>
        <sz val="7"/>
        <rFont val="Arial"/>
        <family val="2"/>
      </rPr>
      <t>z</t>
    </r>
    <r>
      <rPr>
        <i/>
        <sz val="8"/>
        <rFont val="Arial"/>
        <family val="2"/>
      </rPr>
      <t>=.00256K</t>
    </r>
    <r>
      <rPr>
        <i/>
        <sz val="7"/>
        <rFont val="Arial"/>
        <family val="2"/>
      </rPr>
      <t>z</t>
    </r>
    <r>
      <rPr>
        <i/>
        <sz val="8"/>
        <rFont val="Arial"/>
        <family val="2"/>
      </rPr>
      <t>K</t>
    </r>
    <r>
      <rPr>
        <i/>
        <sz val="7"/>
        <rFont val="Arial"/>
        <family val="2"/>
      </rPr>
      <t>zt</t>
    </r>
    <r>
      <rPr>
        <i/>
        <sz val="8"/>
        <rFont val="Arial"/>
        <family val="2"/>
      </rPr>
      <t>K</t>
    </r>
    <r>
      <rPr>
        <i/>
        <sz val="7"/>
        <rFont val="Arial"/>
        <family val="2"/>
      </rPr>
      <t>d</t>
    </r>
    <r>
      <rPr>
        <i/>
        <sz val="8"/>
        <rFont val="Arial"/>
        <family val="2"/>
      </rPr>
      <t>V</t>
    </r>
    <r>
      <rPr>
        <i/>
        <vertAlign val="superscript"/>
        <sz val="8"/>
        <rFont val="Arial"/>
        <family val="2"/>
      </rPr>
      <t>2</t>
    </r>
  </si>
  <si>
    <r>
      <t>p = qGC</t>
    </r>
    <r>
      <rPr>
        <i/>
        <sz val="7"/>
        <rFont val="Arial"/>
        <family val="2"/>
      </rPr>
      <t>p</t>
    </r>
    <r>
      <rPr>
        <i/>
        <sz val="8"/>
        <rFont val="Arial"/>
        <family val="2"/>
      </rPr>
      <t xml:space="preserve"> - q</t>
    </r>
    <r>
      <rPr>
        <i/>
        <sz val="7"/>
        <rFont val="Arial"/>
        <family val="2"/>
      </rPr>
      <t>h</t>
    </r>
    <r>
      <rPr>
        <i/>
        <sz val="8"/>
        <rFont val="Arial"/>
        <family val="2"/>
      </rPr>
      <t>(GC</t>
    </r>
    <r>
      <rPr>
        <i/>
        <sz val="7"/>
        <rFont val="Arial"/>
        <family val="2"/>
      </rPr>
      <t>pi</t>
    </r>
    <r>
      <rPr>
        <i/>
        <sz val="8"/>
        <rFont val="Arial"/>
        <family val="2"/>
      </rPr>
      <t>)</t>
    </r>
  </si>
  <si>
    <r>
      <t>p = qGC</t>
    </r>
    <r>
      <rPr>
        <i/>
        <sz val="7"/>
        <rFont val="Arial"/>
        <family val="2"/>
      </rPr>
      <t>p</t>
    </r>
  </si>
  <si>
    <r>
      <t>q</t>
    </r>
    <r>
      <rPr>
        <sz val="7"/>
        <rFont val="Arial"/>
        <family val="2"/>
      </rPr>
      <t>z</t>
    </r>
    <r>
      <rPr>
        <sz val="8"/>
        <rFont val="Arial"/>
        <family val="2"/>
      </rPr>
      <t xml:space="preserve"> (psf)</t>
    </r>
  </si>
  <si>
    <r>
      <t>q</t>
    </r>
    <r>
      <rPr>
        <sz val="7"/>
        <rFont val="Arial"/>
        <family val="2"/>
      </rPr>
      <t xml:space="preserve">z </t>
    </r>
    <r>
      <rPr>
        <sz val="8"/>
        <rFont val="Arial"/>
        <family val="2"/>
      </rPr>
      <t>(psf)</t>
    </r>
  </si>
  <si>
    <t>Windward Overhang</t>
  </si>
  <si>
    <t>C</t>
  </si>
  <si>
    <t>α =</t>
  </si>
  <si>
    <r>
      <t>z</t>
    </r>
    <r>
      <rPr>
        <sz val="7"/>
        <rFont val="Arial"/>
        <family val="2"/>
      </rPr>
      <t>g</t>
    </r>
    <r>
      <rPr>
        <sz val="8"/>
        <rFont val="Arial"/>
        <family val="2"/>
      </rPr>
      <t xml:space="preserve"> =</t>
    </r>
    <r>
      <rPr>
        <sz val="7"/>
        <rFont val="Arial"/>
        <family val="2"/>
      </rPr>
      <t xml:space="preserve"> </t>
    </r>
  </si>
  <si>
    <r>
      <t>h</t>
    </r>
    <r>
      <rPr>
        <sz val="7"/>
        <rFont val="Arial"/>
        <family val="2"/>
      </rPr>
      <t>e</t>
    </r>
    <r>
      <rPr>
        <sz val="8"/>
        <rFont val="Arial"/>
        <family val="2"/>
      </rPr>
      <t xml:space="preserve"> =</t>
    </r>
  </si>
  <si>
    <t>Linear Interp One Way</t>
  </si>
  <si>
    <t>x0</t>
  </si>
  <si>
    <t>x1</t>
  </si>
  <si>
    <t>y0</t>
  </si>
  <si>
    <t>y1</t>
  </si>
  <si>
    <t>x</t>
  </si>
  <si>
    <t>y</t>
  </si>
  <si>
    <t>Linear Interp Two Way</t>
  </si>
  <si>
    <t>z0</t>
  </si>
  <si>
    <t>z1</t>
  </si>
  <si>
    <t>z</t>
  </si>
  <si>
    <t>(MWFRS)</t>
  </si>
  <si>
    <t>h/L</t>
  </si>
  <si>
    <t>Angle</t>
  </si>
  <si>
    <t>Leeward Wall Interpolation Transverse:</t>
  </si>
  <si>
    <t>L/B</t>
  </si>
  <si>
    <t>1 to 2</t>
  </si>
  <si>
    <t>2 to 4</t>
  </si>
  <si>
    <t>0 to 1</t>
  </si>
  <si>
    <t>&gt;= 4</t>
  </si>
  <si>
    <t>Leeward Wall Interpolation Longitudinal:</t>
  </si>
  <si>
    <t>Leeward Roof Interpolation Transverse:</t>
  </si>
  <si>
    <t>Double Interpolation</t>
  </si>
  <si>
    <t>Leeward Roof Interpolation Longitudinal:</t>
  </si>
  <si>
    <t>WINDWARD ROOF LOOKUP TABLE (POSITIVE)</t>
  </si>
  <si>
    <t>LEEWARD ROOF LOOKUP TABLE</t>
  </si>
  <si>
    <t>WINDWARD ROOF LOOKUP TABLE (NEGATIVE)</t>
  </si>
  <si>
    <t>Windward Roof Interpolation Transverse (POS):</t>
  </si>
  <si>
    <t>Windward Roof Interpolation Transverse (NEG):</t>
  </si>
  <si>
    <t>Windward Roof Interpolation Longitudinal (POS):</t>
  </si>
  <si>
    <t>Windward Roof Interpolation Longitudinal (NEG):</t>
  </si>
  <si>
    <t>RIDGE PARALLEL TO ROOF LOOKUP TABLE</t>
  </si>
  <si>
    <t>0 to h/2</t>
  </si>
  <si>
    <t>Single Interpolation</t>
  </si>
  <si>
    <t>h/2 to h</t>
  </si>
  <si>
    <t>h to 2h</t>
  </si>
  <si>
    <t>&gt; 2h</t>
  </si>
  <si>
    <t>Ridge Parallel to Roof Transverse (0 to h/2):</t>
  </si>
  <si>
    <t>Ridge Parallel to Roof Transverse (h/2 to h):</t>
  </si>
  <si>
    <t>Ridge Parallel to Roof Longitudinal (0 to h/2):</t>
  </si>
  <si>
    <t>Ridge Parallel to Roof Longitudinal (h/2 to h):</t>
  </si>
  <si>
    <t>Ridge Parallel to Roof Transverse (h to 2h):</t>
  </si>
  <si>
    <t>Ridge Parallel to Roof Transverse (&gt; 2h):</t>
  </si>
  <si>
    <t>Ridge Parallel to Roof Longitudinal (h to 2h):</t>
  </si>
  <si>
    <t>Ridge Parallel to Roof Longitudinal (&gt; 2h):</t>
  </si>
  <si>
    <t>L = Parallel to wind dir.</t>
  </si>
  <si>
    <t>B = Perp. to wind dir.</t>
  </si>
  <si>
    <t>2015-002</t>
  </si>
  <si>
    <t>Copyright ® 2015 - Medeek Engineering Inc.</t>
  </si>
  <si>
    <t>Note: Pressures are limit state design pressures for strength design. Multiple by 0.6 for ASD.</t>
  </si>
  <si>
    <t>MWFRS Calculator Rev. 1.2.2 - 2/8/2015</t>
  </si>
  <si>
    <t>ASCE 7-10 Fig. 27.4-1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</si>
</sst>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#,##0.0"/>
    <numFmt numFmtId="167" formatCode="[$-409]dddd\,\ mmmm\ dd\,\ yyyy"/>
    <numFmt numFmtId="168" formatCode="0.000"/>
    <numFmt numFmtId="169" formatCode="0.0000"/>
    <numFmt numFmtId="170" formatCode="[$-409]h:mm:ss\ AM/PM"/>
    <numFmt numFmtId="171" formatCode="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vertAlign val="superscript"/>
      <sz val="8"/>
      <name val="Arial"/>
      <family val="2"/>
    </font>
    <font>
      <sz val="8"/>
      <name val="Arial Unicode MS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15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15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left" vertical="center"/>
    </xf>
    <xf numFmtId="164" fontId="3" fillId="0" borderId="0" xfId="0" applyNumberFormat="1" applyFont="1" applyBorder="1" applyAlignment="1">
      <alignment vertical="center"/>
    </xf>
    <xf numFmtId="164" fontId="3" fillId="33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168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8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8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2" fontId="3" fillId="0" borderId="0" xfId="0" applyNumberFormat="1" applyFont="1" applyFill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4" fontId="3" fillId="33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64" fontId="3" fillId="33" borderId="16" xfId="0" applyNumberFormat="1" applyFont="1" applyFill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8" fontId="3" fillId="0" borderId="18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4" fontId="3" fillId="33" borderId="13" xfId="0" applyNumberFormat="1" applyFont="1" applyFill="1" applyBorder="1" applyAlignment="1">
      <alignment horizontal="right" vertical="center"/>
    </xf>
    <xf numFmtId="168" fontId="3" fillId="0" borderId="10" xfId="0" applyNumberFormat="1" applyFont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168" fontId="3" fillId="0" borderId="11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6" fillId="0" borderId="0" xfId="0" applyNumberFormat="1" applyFont="1" applyAlignment="1">
      <alignment horizontal="left" vertical="center"/>
    </xf>
    <xf numFmtId="168" fontId="3" fillId="4" borderId="0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2" fontId="3" fillId="4" borderId="0" xfId="0" applyNumberFormat="1" applyFont="1" applyFill="1" applyAlignment="1">
      <alignment vertical="center"/>
    </xf>
    <xf numFmtId="0" fontId="3" fillId="6" borderId="14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168" fontId="3" fillId="6" borderId="13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168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5" borderId="0" xfId="0" applyFont="1" applyFill="1" applyAlignment="1">
      <alignment horizontal="right" vertical="center"/>
    </xf>
    <xf numFmtId="168" fontId="3" fillId="4" borderId="16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168" fontId="3" fillId="2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168" fontId="3" fillId="35" borderId="13" xfId="0" applyNumberFormat="1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4" fontId="3" fillId="3" borderId="14" xfId="0" applyNumberFormat="1" applyFont="1" applyFill="1" applyBorder="1" applyAlignment="1">
      <alignment horizontal="right" vertical="center"/>
    </xf>
    <xf numFmtId="168" fontId="3" fillId="0" borderId="11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2" fontId="3" fillId="34" borderId="0" xfId="0" applyNumberFormat="1" applyFont="1" applyFill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2" fontId="3" fillId="34" borderId="0" xfId="0" applyNumberFormat="1" applyFont="1" applyFill="1" applyBorder="1" applyAlignment="1" applyProtection="1">
      <alignment vertical="center"/>
      <protection locked="0"/>
    </xf>
    <xf numFmtId="168" fontId="3" fillId="34" borderId="0" xfId="0" applyNumberFormat="1" applyFont="1" applyFill="1" applyBorder="1" applyAlignment="1" applyProtection="1">
      <alignment vertical="center"/>
      <protection locked="0"/>
    </xf>
    <xf numFmtId="0" fontId="3" fillId="34" borderId="0" xfId="0" applyNumberFormat="1" applyFont="1" applyFill="1" applyBorder="1" applyAlignment="1" applyProtection="1">
      <alignment horizontal="right" vertical="center"/>
      <protection locked="0"/>
    </xf>
    <xf numFmtId="0" fontId="3" fillId="34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i val="0"/>
        <color auto="1"/>
      </font>
      <fill>
        <patternFill patternType="none">
          <bgColor indexed="6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99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2" width="9.7109375" style="7" customWidth="1"/>
    <col min="3" max="3" width="9.421875" style="7" customWidth="1"/>
    <col min="4" max="4" width="9.7109375" style="7" customWidth="1"/>
    <col min="5" max="5" width="9.7109375" style="9" customWidth="1"/>
    <col min="6" max="6" width="9.7109375" style="10" customWidth="1"/>
    <col min="7" max="7" width="10.7109375" style="11" customWidth="1"/>
    <col min="8" max="15" width="9.7109375" style="7" customWidth="1"/>
    <col min="16" max="16" width="10.7109375" style="7" customWidth="1"/>
    <col min="17" max="18" width="9.7109375" style="7" customWidth="1"/>
    <col min="19" max="22" width="9.140625" style="7" customWidth="1"/>
    <col min="23" max="23" width="10.00390625" style="7" bestFit="1" customWidth="1"/>
    <col min="24" max="24" width="10.57421875" style="7" bestFit="1" customWidth="1"/>
    <col min="25" max="32" width="9.140625" style="7" customWidth="1"/>
    <col min="33" max="33" width="11.421875" style="7" bestFit="1" customWidth="1"/>
    <col min="34" max="41" width="9.140625" style="7" customWidth="1"/>
    <col min="42" max="42" width="11.421875" style="7" customWidth="1"/>
    <col min="43" max="43" width="9.7109375" style="7" bestFit="1" customWidth="1"/>
    <col min="44" max="50" width="9.140625" style="7" customWidth="1"/>
    <col min="51" max="51" width="11.421875" style="7" bestFit="1" customWidth="1"/>
    <col min="52" max="16384" width="9.140625" style="7" customWidth="1"/>
  </cols>
  <sheetData>
    <row r="1" spans="5:51" s="1" customFormat="1" ht="12" customHeight="1">
      <c r="E1" s="2"/>
      <c r="F1" s="3"/>
      <c r="G1" s="4"/>
      <c r="H1" s="1" t="s">
        <v>6</v>
      </c>
      <c r="I1" s="97" t="s">
        <v>114</v>
      </c>
      <c r="N1" s="5"/>
      <c r="P1" s="4"/>
      <c r="X1" s="6"/>
      <c r="AG1" s="5"/>
      <c r="AP1" s="5"/>
      <c r="AY1" s="5"/>
    </row>
    <row r="2" spans="2:22" ht="12.75" customHeight="1">
      <c r="B2" s="8" t="s">
        <v>9</v>
      </c>
      <c r="C2" s="7" t="s">
        <v>78</v>
      </c>
      <c r="K2" s="8"/>
      <c r="L2" s="85" t="s">
        <v>81</v>
      </c>
      <c r="M2" s="86"/>
      <c r="N2" s="86"/>
      <c r="O2" s="86"/>
      <c r="P2" s="87" t="s">
        <v>100</v>
      </c>
      <c r="Q2" s="86"/>
      <c r="R2" s="88"/>
      <c r="V2" s="7" t="s">
        <v>92</v>
      </c>
    </row>
    <row r="3" spans="2:27" ht="12.75" customHeight="1">
      <c r="B3" s="7" t="s">
        <v>14</v>
      </c>
      <c r="E3" s="13" t="s">
        <v>10</v>
      </c>
      <c r="H3" s="105" t="s">
        <v>118</v>
      </c>
      <c r="L3" s="43" t="s">
        <v>82</v>
      </c>
      <c r="M3" s="11" t="s">
        <v>72</v>
      </c>
      <c r="N3" s="11" t="s">
        <v>68</v>
      </c>
      <c r="O3" s="11" t="s">
        <v>69</v>
      </c>
      <c r="P3" s="12" t="s">
        <v>70</v>
      </c>
      <c r="Q3" s="11" t="s">
        <v>71</v>
      </c>
      <c r="R3" s="53" t="s">
        <v>73</v>
      </c>
      <c r="W3" s="7">
        <v>0</v>
      </c>
      <c r="X3" s="7">
        <v>10</v>
      </c>
      <c r="Y3" s="7">
        <v>15</v>
      </c>
      <c r="Z3" s="7">
        <v>20</v>
      </c>
      <c r="AA3" s="7">
        <v>45</v>
      </c>
    </row>
    <row r="4" spans="2:27" ht="12" customHeight="1">
      <c r="B4" s="7" t="s">
        <v>11</v>
      </c>
      <c r="F4" s="98">
        <v>155</v>
      </c>
      <c r="G4" s="11" t="s">
        <v>0</v>
      </c>
      <c r="L4" s="43" t="s">
        <v>85</v>
      </c>
      <c r="M4" s="14">
        <f>$E$26</f>
        <v>1.14</v>
      </c>
      <c r="N4" s="11">
        <v>0</v>
      </c>
      <c r="O4" s="11">
        <v>1</v>
      </c>
      <c r="P4" s="11">
        <v>-0.5</v>
      </c>
      <c r="Q4" s="11">
        <v>-0.5</v>
      </c>
      <c r="R4" s="76">
        <f>P4+(Q4-P4)*(M4-N4)/(O4-N4)</f>
        <v>-0.5</v>
      </c>
      <c r="V4" s="7">
        <v>0</v>
      </c>
      <c r="W4" s="64">
        <v>-0.3</v>
      </c>
      <c r="X4" s="64">
        <v>-0.3</v>
      </c>
      <c r="Y4" s="64">
        <v>-0.5</v>
      </c>
      <c r="Z4" s="64">
        <v>-0.6</v>
      </c>
      <c r="AA4" s="64">
        <v>-0.6</v>
      </c>
    </row>
    <row r="5" spans="2:27" ht="12" customHeight="1">
      <c r="B5" s="7" t="s">
        <v>12</v>
      </c>
      <c r="E5" s="9" t="s">
        <v>51</v>
      </c>
      <c r="F5" s="98">
        <v>1</v>
      </c>
      <c r="H5" s="104" t="s">
        <v>13</v>
      </c>
      <c r="L5" s="43" t="s">
        <v>83</v>
      </c>
      <c r="M5" s="14">
        <f>$E$26</f>
        <v>1.14</v>
      </c>
      <c r="N5" s="11">
        <v>1</v>
      </c>
      <c r="O5" s="11">
        <v>2</v>
      </c>
      <c r="P5" s="11">
        <v>-0.5</v>
      </c>
      <c r="Q5" s="11">
        <v>-0.3</v>
      </c>
      <c r="R5" s="80">
        <f>P5+(Q5-P5)*(M5-N5)/(O5-N5)</f>
        <v>-0.47200000000000003</v>
      </c>
      <c r="V5" s="7">
        <v>0.25</v>
      </c>
      <c r="W5" s="64">
        <v>-0.3</v>
      </c>
      <c r="X5" s="64">
        <v>-0.3</v>
      </c>
      <c r="Y5" s="64">
        <v>-0.5</v>
      </c>
      <c r="Z5" s="64">
        <v>-0.6</v>
      </c>
      <c r="AA5" s="64">
        <v>-0.6</v>
      </c>
    </row>
    <row r="6" spans="2:27" ht="12" customHeight="1">
      <c r="B6" s="7" t="s">
        <v>15</v>
      </c>
      <c r="E6" s="9" t="s">
        <v>52</v>
      </c>
      <c r="F6" s="98">
        <v>0.85</v>
      </c>
      <c r="H6" s="104" t="s">
        <v>16</v>
      </c>
      <c r="L6" s="43" t="s">
        <v>84</v>
      </c>
      <c r="M6" s="14">
        <f>$E$26</f>
        <v>1.14</v>
      </c>
      <c r="N6" s="11">
        <v>2</v>
      </c>
      <c r="O6" s="11">
        <v>4</v>
      </c>
      <c r="P6" s="11">
        <v>-0.3</v>
      </c>
      <c r="Q6" s="11">
        <v>-0.2</v>
      </c>
      <c r="R6" s="80">
        <f>P6+(Q6-P6)*(M6-N6)/(O6-N6)</f>
        <v>-0.34299999999999997</v>
      </c>
      <c r="V6" s="7">
        <v>0.5</v>
      </c>
      <c r="W6" s="64">
        <v>-0.5</v>
      </c>
      <c r="X6" s="64">
        <v>-0.5</v>
      </c>
      <c r="Y6" s="64">
        <v>-0.5</v>
      </c>
      <c r="Z6" s="64">
        <v>-0.6</v>
      </c>
      <c r="AA6" s="64">
        <v>-0.6</v>
      </c>
    </row>
    <row r="7" spans="2:27" ht="12" customHeight="1">
      <c r="B7" s="7" t="s">
        <v>21</v>
      </c>
      <c r="E7" s="9" t="s">
        <v>22</v>
      </c>
      <c r="F7" s="98">
        <v>0.85</v>
      </c>
      <c r="H7" s="104" t="s">
        <v>23</v>
      </c>
      <c r="L7" s="48" t="s">
        <v>86</v>
      </c>
      <c r="M7" s="77">
        <f>$E$26</f>
        <v>1.14</v>
      </c>
      <c r="N7" s="49">
        <v>4</v>
      </c>
      <c r="O7" s="49">
        <v>100</v>
      </c>
      <c r="P7" s="49">
        <v>-0.2</v>
      </c>
      <c r="Q7" s="49">
        <v>-0.2</v>
      </c>
      <c r="R7" s="78">
        <f>P7+(Q7-P7)*(M7-N7)/(O7-N7)</f>
        <v>-0.2</v>
      </c>
      <c r="V7" s="7">
        <v>1</v>
      </c>
      <c r="W7" s="64">
        <v>-0.7</v>
      </c>
      <c r="X7" s="64">
        <v>-0.7</v>
      </c>
      <c r="Y7" s="64">
        <v>-0.6</v>
      </c>
      <c r="Z7" s="64">
        <v>-0.6</v>
      </c>
      <c r="AA7" s="64">
        <v>-0.6</v>
      </c>
    </row>
    <row r="8" spans="2:27" ht="12" customHeight="1">
      <c r="B8" s="7" t="s">
        <v>25</v>
      </c>
      <c r="E8" s="9" t="s">
        <v>53</v>
      </c>
      <c r="F8" s="98">
        <v>0.18</v>
      </c>
      <c r="G8" s="99">
        <v>-0.18</v>
      </c>
      <c r="H8" s="104" t="s">
        <v>24</v>
      </c>
      <c r="P8" s="12"/>
      <c r="V8" s="7">
        <v>100</v>
      </c>
      <c r="W8" s="64">
        <v>-0.7</v>
      </c>
      <c r="X8" s="64">
        <v>-0.7</v>
      </c>
      <c r="Y8" s="64">
        <v>-0.6</v>
      </c>
      <c r="Z8" s="64">
        <v>-0.6</v>
      </c>
      <c r="AA8" s="64">
        <v>-0.6</v>
      </c>
    </row>
    <row r="9" spans="2:18" ht="12" customHeight="1">
      <c r="B9" s="7" t="s">
        <v>7</v>
      </c>
      <c r="E9" s="7"/>
      <c r="F9" s="100">
        <v>6</v>
      </c>
      <c r="G9" s="7" t="s">
        <v>8</v>
      </c>
      <c r="H9" s="10">
        <f>DEGREES(ATAN(F9/12))</f>
        <v>26.56505117707799</v>
      </c>
      <c r="I9" s="7" t="s">
        <v>45</v>
      </c>
      <c r="L9" s="85" t="s">
        <v>87</v>
      </c>
      <c r="M9" s="86"/>
      <c r="N9" s="86"/>
      <c r="O9" s="86"/>
      <c r="P9" s="87" t="s">
        <v>100</v>
      </c>
      <c r="Q9" s="86"/>
      <c r="R9" s="88"/>
    </row>
    <row r="10" spans="2:18" s="8" customFormat="1" ht="12" customHeight="1">
      <c r="B10" s="7" t="s">
        <v>1</v>
      </c>
      <c r="C10" s="7"/>
      <c r="D10" s="7"/>
      <c r="E10" s="7"/>
      <c r="F10" s="101">
        <v>11</v>
      </c>
      <c r="G10" s="7" t="s">
        <v>3</v>
      </c>
      <c r="J10" s="7"/>
      <c r="K10" s="7"/>
      <c r="L10" s="43" t="s">
        <v>82</v>
      </c>
      <c r="M10" s="11" t="s">
        <v>72</v>
      </c>
      <c r="N10" s="11" t="s">
        <v>68</v>
      </c>
      <c r="O10" s="11" t="s">
        <v>69</v>
      </c>
      <c r="P10" s="12" t="s">
        <v>70</v>
      </c>
      <c r="Q10" s="11" t="s">
        <v>71</v>
      </c>
      <c r="R10" s="53" t="s">
        <v>73</v>
      </c>
    </row>
    <row r="11" spans="2:86" ht="12" customHeight="1">
      <c r="B11" s="7" t="s">
        <v>2</v>
      </c>
      <c r="E11" s="7"/>
      <c r="F11" s="101">
        <v>17.875</v>
      </c>
      <c r="G11" s="7" t="s">
        <v>3</v>
      </c>
      <c r="H11" s="35" t="s">
        <v>64</v>
      </c>
      <c r="I11" s="7">
        <f>IF(F13="C",9.5,IF(F13="B",7,IF(F13="D",11.5,"Undefined")))</f>
        <v>9.5</v>
      </c>
      <c r="L11" s="43" t="s">
        <v>85</v>
      </c>
      <c r="M11" s="14">
        <f>$E$44</f>
        <v>0.8771929824561403</v>
      </c>
      <c r="N11" s="11">
        <v>0</v>
      </c>
      <c r="O11" s="11">
        <v>1</v>
      </c>
      <c r="P11" s="11">
        <v>-0.5</v>
      </c>
      <c r="Q11" s="11">
        <v>-0.5</v>
      </c>
      <c r="R11" s="76">
        <f>P11+(Q11-P11)*(M11-N11)/(O11-N11)</f>
        <v>-0.5</v>
      </c>
      <c r="AJ11" s="11"/>
      <c r="AL11" s="8"/>
      <c r="AN11" s="8"/>
      <c r="AO11" s="8"/>
      <c r="AP11" s="8"/>
      <c r="BP11" s="15"/>
      <c r="BY11" s="15"/>
      <c r="CH11" s="15"/>
    </row>
    <row r="12" spans="2:86" ht="12" customHeight="1">
      <c r="B12" s="7" t="s">
        <v>4</v>
      </c>
      <c r="E12" s="7"/>
      <c r="F12" s="12">
        <f>IF(H9&gt;10,(F10+F11)/2,F10)</f>
        <v>14.4375</v>
      </c>
      <c r="G12" s="7" t="s">
        <v>3</v>
      </c>
      <c r="H12" s="7" t="s">
        <v>65</v>
      </c>
      <c r="I12" s="7">
        <f>IF(F13="C",900,IF(F13="B",1200,IF(F13="D",700,"Undefined")))</f>
        <v>900</v>
      </c>
      <c r="L12" s="43" t="s">
        <v>83</v>
      </c>
      <c r="M12" s="14">
        <f>$E$44</f>
        <v>0.8771929824561403</v>
      </c>
      <c r="N12" s="11">
        <v>1</v>
      </c>
      <c r="O12" s="11">
        <v>2</v>
      </c>
      <c r="P12" s="11">
        <v>-0.5</v>
      </c>
      <c r="Q12" s="11">
        <v>-0.3</v>
      </c>
      <c r="R12" s="80">
        <f>P12+(Q12-P12)*(M12-N12)/(O12-N12)</f>
        <v>-0.5245614035087719</v>
      </c>
      <c r="AI12" s="11"/>
      <c r="AJ12" s="11"/>
      <c r="BF12" s="16"/>
      <c r="BH12" s="16"/>
      <c r="BP12" s="15"/>
      <c r="CH12" s="15"/>
    </row>
    <row r="13" spans="2:86" ht="12" customHeight="1">
      <c r="B13" s="7" t="s">
        <v>5</v>
      </c>
      <c r="E13" s="7"/>
      <c r="F13" s="102" t="s">
        <v>63</v>
      </c>
      <c r="G13" s="7"/>
      <c r="L13" s="43" t="s">
        <v>84</v>
      </c>
      <c r="M13" s="14">
        <f>$E$44</f>
        <v>0.8771929824561403</v>
      </c>
      <c r="N13" s="11">
        <v>2</v>
      </c>
      <c r="O13" s="11">
        <v>4</v>
      </c>
      <c r="P13" s="11">
        <v>-0.3</v>
      </c>
      <c r="Q13" s="11">
        <v>-0.2</v>
      </c>
      <c r="R13" s="80">
        <f>P13+(Q13-P13)*(M13-N13)/(O13-N13)</f>
        <v>-0.356140350877193</v>
      </c>
      <c r="AB13" s="17"/>
      <c r="AC13" s="11"/>
      <c r="AD13" s="11"/>
      <c r="AE13" s="11"/>
      <c r="AF13" s="11"/>
      <c r="AG13" s="11"/>
      <c r="AH13" s="11"/>
      <c r="AJ13" s="11"/>
      <c r="AM13" s="11"/>
      <c r="AN13" s="11"/>
      <c r="AP13" s="18"/>
      <c r="AQ13" s="15"/>
      <c r="BF13" s="16"/>
      <c r="BP13" s="19"/>
      <c r="BR13" s="15"/>
      <c r="BW13" s="20"/>
      <c r="BY13" s="11"/>
      <c r="BZ13" s="15"/>
      <c r="CA13" s="15"/>
      <c r="CB13" s="15"/>
      <c r="CC13" s="21"/>
      <c r="CH13" s="15"/>
    </row>
    <row r="14" spans="12:86" ht="6" customHeight="1">
      <c r="L14" s="48" t="s">
        <v>86</v>
      </c>
      <c r="M14" s="77">
        <f>$E$44</f>
        <v>0.8771929824561403</v>
      </c>
      <c r="N14" s="49">
        <v>4</v>
      </c>
      <c r="O14" s="49">
        <v>100</v>
      </c>
      <c r="P14" s="49">
        <v>-0.2</v>
      </c>
      <c r="Q14" s="49">
        <v>-0.2</v>
      </c>
      <c r="R14" s="78">
        <f>P14+(Q14-P14)*(M14-N14)/(O14-N14)</f>
        <v>-0.2</v>
      </c>
      <c r="AA14" s="9"/>
      <c r="AB14" s="11"/>
      <c r="AC14" s="11"/>
      <c r="AD14" s="11"/>
      <c r="AE14" s="11"/>
      <c r="AF14" s="18"/>
      <c r="AG14" s="18"/>
      <c r="AH14" s="18"/>
      <c r="AM14" s="11"/>
      <c r="AN14" s="11"/>
      <c r="AP14" s="18"/>
      <c r="AQ14" s="15"/>
      <c r="BF14" s="16"/>
      <c r="BP14" s="19"/>
      <c r="BZ14" s="15"/>
      <c r="CA14" s="15"/>
      <c r="CB14" s="15"/>
      <c r="CC14" s="21"/>
      <c r="CH14" s="15"/>
    </row>
    <row r="15" spans="2:86" ht="12" customHeight="1">
      <c r="B15" s="8" t="s">
        <v>17</v>
      </c>
      <c r="C15" s="8"/>
      <c r="D15" s="8"/>
      <c r="E15" s="22"/>
      <c r="F15" s="3"/>
      <c r="G15" s="17"/>
      <c r="H15" s="33" t="s">
        <v>57</v>
      </c>
      <c r="P15" s="11"/>
      <c r="V15" s="7" t="s">
        <v>91</v>
      </c>
      <c r="AB15" s="11"/>
      <c r="AC15" s="11"/>
      <c r="AD15" s="11"/>
      <c r="AE15" s="11"/>
      <c r="AF15" s="18"/>
      <c r="AG15" s="18"/>
      <c r="AH15" s="18"/>
      <c r="AM15" s="11"/>
      <c r="AN15" s="11"/>
      <c r="AP15" s="18"/>
      <c r="AQ15" s="15"/>
      <c r="AX15" s="18"/>
      <c r="BF15" s="16"/>
      <c r="BP15" s="15"/>
      <c r="BR15" s="15"/>
      <c r="BW15" s="20"/>
      <c r="BY15" s="11"/>
      <c r="BZ15" s="15"/>
      <c r="CA15" s="15"/>
      <c r="CB15" s="15"/>
      <c r="CC15" s="21"/>
      <c r="CH15" s="15"/>
    </row>
    <row r="16" spans="2:88" ht="12" customHeight="1">
      <c r="B16" s="7" t="s">
        <v>18</v>
      </c>
      <c r="E16" s="7" t="s">
        <v>54</v>
      </c>
      <c r="F16" s="7" t="s">
        <v>55</v>
      </c>
      <c r="G16" s="9"/>
      <c r="H16" s="10"/>
      <c r="I16" s="11"/>
      <c r="L16" s="74"/>
      <c r="M16" s="74"/>
      <c r="N16" s="74"/>
      <c r="O16" s="74"/>
      <c r="P16" s="75"/>
      <c r="Q16" s="74"/>
      <c r="R16" s="74"/>
      <c r="W16" s="7">
        <v>0</v>
      </c>
      <c r="X16" s="7">
        <v>10</v>
      </c>
      <c r="Y16" s="7">
        <v>15</v>
      </c>
      <c r="Z16" s="7">
        <v>20</v>
      </c>
      <c r="AA16" s="7">
        <v>25</v>
      </c>
      <c r="AB16" s="7">
        <v>30</v>
      </c>
      <c r="AC16" s="9">
        <v>35</v>
      </c>
      <c r="AD16" s="11">
        <v>45</v>
      </c>
      <c r="AE16" s="11">
        <v>60</v>
      </c>
      <c r="AF16" s="11"/>
      <c r="AG16" s="11"/>
      <c r="AH16" s="18"/>
      <c r="AI16" s="18"/>
      <c r="AJ16" s="18"/>
      <c r="AO16" s="11"/>
      <c r="AP16" s="11"/>
      <c r="AR16" s="18"/>
      <c r="AS16" s="15"/>
      <c r="AZ16" s="18"/>
      <c r="BH16" s="16"/>
      <c r="BR16" s="15"/>
      <c r="BT16" s="15"/>
      <c r="BY16" s="20"/>
      <c r="CA16" s="11"/>
      <c r="CB16" s="15"/>
      <c r="CC16" s="15"/>
      <c r="CD16" s="15"/>
      <c r="CE16" s="21"/>
      <c r="CJ16" s="15"/>
    </row>
    <row r="17" spans="2:88" ht="12" customHeight="1">
      <c r="B17" s="7" t="s">
        <v>66</v>
      </c>
      <c r="C17" s="37">
        <f>F10</f>
        <v>11</v>
      </c>
      <c r="D17" s="7" t="s">
        <v>3</v>
      </c>
      <c r="E17" s="36">
        <f aca="true" t="shared" si="0" ref="E17:E22">IF(C17&lt;15,2.01*(15/$I$12)^(2/$I$11),2.01*(C17/$I$12)^(2/$I$11))</f>
        <v>0.8488841520779031</v>
      </c>
      <c r="F17" s="23">
        <f aca="true" t="shared" si="1" ref="F17:F22">0.00256*E17*$F$5*$F$6*$F$4*$F$4</f>
        <v>44.37830525598945</v>
      </c>
      <c r="G17" s="9"/>
      <c r="H17" s="10"/>
      <c r="I17" s="11"/>
      <c r="L17" s="74"/>
      <c r="M17" s="74"/>
      <c r="N17" s="74"/>
      <c r="O17" s="74"/>
      <c r="P17" s="75"/>
      <c r="Q17" s="74"/>
      <c r="R17" s="74"/>
      <c r="V17" s="7">
        <v>0</v>
      </c>
      <c r="W17" s="64">
        <v>-0.18</v>
      </c>
      <c r="X17" s="64">
        <v>-0.18</v>
      </c>
      <c r="Y17" s="64">
        <v>0</v>
      </c>
      <c r="Z17" s="64">
        <v>0.2</v>
      </c>
      <c r="AA17" s="64">
        <v>0.3</v>
      </c>
      <c r="AB17" s="64">
        <v>0.3</v>
      </c>
      <c r="AC17" s="79">
        <v>0.4</v>
      </c>
      <c r="AD17" s="71">
        <v>0.4</v>
      </c>
      <c r="AE17" s="71">
        <v>0.6</v>
      </c>
      <c r="AF17" s="11"/>
      <c r="AG17" s="11"/>
      <c r="AH17" s="18"/>
      <c r="AI17" s="18"/>
      <c r="AJ17" s="18"/>
      <c r="AO17" s="11"/>
      <c r="AP17" s="11"/>
      <c r="AR17" s="18"/>
      <c r="AS17" s="15"/>
      <c r="AZ17" s="18"/>
      <c r="BH17" s="16"/>
      <c r="BR17" s="15"/>
      <c r="BT17" s="15"/>
      <c r="BY17" s="20"/>
      <c r="CA17" s="11"/>
      <c r="CB17" s="15"/>
      <c r="CC17" s="15"/>
      <c r="CD17" s="15"/>
      <c r="CE17" s="21"/>
      <c r="CJ17" s="15"/>
    </row>
    <row r="18" spans="2:88" ht="12" customHeight="1">
      <c r="B18" s="7" t="s">
        <v>19</v>
      </c>
      <c r="C18" s="37">
        <f>F12</f>
        <v>14.4375</v>
      </c>
      <c r="D18" s="7" t="s">
        <v>3</v>
      </c>
      <c r="E18" s="36">
        <f t="shared" si="0"/>
        <v>0.8488841520779031</v>
      </c>
      <c r="F18" s="60">
        <f t="shared" si="1"/>
        <v>44.37830525598945</v>
      </c>
      <c r="G18" s="62">
        <f>IF(H9&gt;10,"","(h = he for θ ≤ 10 degrees)")</f>
      </c>
      <c r="I18" s="11"/>
      <c r="L18" s="74"/>
      <c r="M18" s="38"/>
      <c r="N18" s="74"/>
      <c r="O18" s="74"/>
      <c r="P18" s="74"/>
      <c r="Q18" s="74"/>
      <c r="R18" s="74"/>
      <c r="V18" s="7">
        <v>0.25</v>
      </c>
      <c r="W18" s="64">
        <v>-0.18</v>
      </c>
      <c r="X18" s="64">
        <v>-0.18</v>
      </c>
      <c r="Y18" s="64">
        <v>0</v>
      </c>
      <c r="Z18" s="64">
        <v>0.2</v>
      </c>
      <c r="AA18" s="64">
        <v>0.3</v>
      </c>
      <c r="AB18" s="64">
        <v>0.3</v>
      </c>
      <c r="AC18" s="79">
        <v>0.4</v>
      </c>
      <c r="AD18" s="71">
        <v>0.4</v>
      </c>
      <c r="AE18" s="71">
        <v>0.6</v>
      </c>
      <c r="AF18" s="11"/>
      <c r="AG18" s="11"/>
      <c r="AH18" s="18"/>
      <c r="AI18" s="18"/>
      <c r="AJ18" s="18"/>
      <c r="AO18" s="11"/>
      <c r="AP18" s="11"/>
      <c r="AR18" s="18"/>
      <c r="AS18" s="15"/>
      <c r="AZ18" s="18"/>
      <c r="BH18" s="16"/>
      <c r="BR18" s="15"/>
      <c r="BT18" s="15"/>
      <c r="BY18" s="20"/>
      <c r="CA18" s="11"/>
      <c r="CB18" s="15"/>
      <c r="CC18" s="15"/>
      <c r="CD18" s="15"/>
      <c r="CE18" s="21"/>
      <c r="CJ18" s="15"/>
    </row>
    <row r="19" spans="2:88" ht="12" customHeight="1">
      <c r="B19" s="7" t="s">
        <v>20</v>
      </c>
      <c r="C19" s="13">
        <v>15</v>
      </c>
      <c r="D19" s="7" t="s">
        <v>3</v>
      </c>
      <c r="E19" s="36">
        <f t="shared" si="0"/>
        <v>0.8488841520779031</v>
      </c>
      <c r="F19" s="23">
        <f t="shared" si="1"/>
        <v>44.37830525598945</v>
      </c>
      <c r="G19" s="13"/>
      <c r="H19" s="95" t="s">
        <v>112</v>
      </c>
      <c r="I19" s="11"/>
      <c r="L19" s="74"/>
      <c r="M19" s="38"/>
      <c r="N19" s="74"/>
      <c r="O19" s="74"/>
      <c r="P19" s="74"/>
      <c r="Q19" s="74"/>
      <c r="R19" s="74"/>
      <c r="V19" s="7">
        <v>0.5</v>
      </c>
      <c r="W19" s="64">
        <v>-0.18</v>
      </c>
      <c r="X19" s="64">
        <v>-0.18</v>
      </c>
      <c r="Y19" s="64">
        <v>-0.18</v>
      </c>
      <c r="Z19" s="64">
        <v>0</v>
      </c>
      <c r="AA19" s="64">
        <v>0.2</v>
      </c>
      <c r="AB19" s="64">
        <v>0.2</v>
      </c>
      <c r="AC19" s="79">
        <v>0.3</v>
      </c>
      <c r="AD19" s="71">
        <v>0.4</v>
      </c>
      <c r="AE19" s="71">
        <v>0.6</v>
      </c>
      <c r="AF19" s="11"/>
      <c r="AG19" s="11"/>
      <c r="AH19" s="18"/>
      <c r="AI19" s="18"/>
      <c r="AJ19" s="18"/>
      <c r="AO19" s="11"/>
      <c r="AP19" s="11"/>
      <c r="AR19" s="18"/>
      <c r="AS19" s="15"/>
      <c r="AZ19" s="18"/>
      <c r="BH19" s="16"/>
      <c r="BR19" s="15"/>
      <c r="BT19" s="15"/>
      <c r="BY19" s="20"/>
      <c r="CA19" s="11"/>
      <c r="CB19" s="15"/>
      <c r="CC19" s="15"/>
      <c r="CD19" s="15"/>
      <c r="CE19" s="21"/>
      <c r="CJ19" s="15"/>
    </row>
    <row r="20" spans="2:88" ht="12" customHeight="1">
      <c r="B20" s="7" t="s">
        <v>20</v>
      </c>
      <c r="C20" s="13">
        <v>20</v>
      </c>
      <c r="D20" s="7" t="s">
        <v>3</v>
      </c>
      <c r="E20" s="36">
        <f t="shared" si="0"/>
        <v>0.9018853194026647</v>
      </c>
      <c r="F20" s="23">
        <f t="shared" si="1"/>
        <v>47.14912148186027</v>
      </c>
      <c r="G20" s="13"/>
      <c r="H20" s="95" t="s">
        <v>113</v>
      </c>
      <c r="I20" s="11"/>
      <c r="L20" s="74"/>
      <c r="M20" s="38"/>
      <c r="N20" s="74"/>
      <c r="O20" s="74"/>
      <c r="P20" s="74"/>
      <c r="Q20" s="74"/>
      <c r="R20" s="74"/>
      <c r="V20" s="7">
        <v>1</v>
      </c>
      <c r="W20" s="64">
        <v>-0.18</v>
      </c>
      <c r="X20" s="64">
        <v>-0.18</v>
      </c>
      <c r="Y20" s="64">
        <v>-0.18</v>
      </c>
      <c r="Z20" s="64">
        <v>-0.18</v>
      </c>
      <c r="AA20" s="64">
        <v>0</v>
      </c>
      <c r="AB20" s="64">
        <v>0.2</v>
      </c>
      <c r="AC20" s="79">
        <v>0.2</v>
      </c>
      <c r="AD20" s="71">
        <v>0.3</v>
      </c>
      <c r="AE20" s="71">
        <v>0.6</v>
      </c>
      <c r="AF20" s="11"/>
      <c r="AG20" s="11"/>
      <c r="AH20" s="18"/>
      <c r="AI20" s="18"/>
      <c r="AJ20" s="18"/>
      <c r="AO20" s="11"/>
      <c r="AP20" s="11"/>
      <c r="AR20" s="18"/>
      <c r="AS20" s="15"/>
      <c r="AZ20" s="18"/>
      <c r="BH20" s="16"/>
      <c r="BR20" s="15"/>
      <c r="BT20" s="15"/>
      <c r="BY20" s="20"/>
      <c r="CA20" s="11"/>
      <c r="CB20" s="15"/>
      <c r="CC20" s="15"/>
      <c r="CD20" s="15"/>
      <c r="CE20" s="21"/>
      <c r="CJ20" s="15"/>
    </row>
    <row r="21" spans="2:88" ht="12" customHeight="1">
      <c r="B21" s="7" t="s">
        <v>20</v>
      </c>
      <c r="C21" s="13">
        <v>25</v>
      </c>
      <c r="D21" s="7" t="s">
        <v>3</v>
      </c>
      <c r="E21" s="36">
        <f t="shared" si="0"/>
        <v>0.9452646690771911</v>
      </c>
      <c r="F21" s="23">
        <f t="shared" si="1"/>
        <v>49.416924475885025</v>
      </c>
      <c r="G21" s="61"/>
      <c r="H21" s="10"/>
      <c r="I21" s="11"/>
      <c r="L21" s="74"/>
      <c r="M21" s="38"/>
      <c r="N21" s="74"/>
      <c r="O21" s="74"/>
      <c r="P21" s="74"/>
      <c r="Q21" s="74"/>
      <c r="R21" s="74"/>
      <c r="V21" s="7">
        <v>100</v>
      </c>
      <c r="W21" s="64">
        <v>-0.18</v>
      </c>
      <c r="X21" s="64">
        <v>-0.18</v>
      </c>
      <c r="Y21" s="64">
        <v>-0.18</v>
      </c>
      <c r="Z21" s="64">
        <v>-0.18</v>
      </c>
      <c r="AA21" s="64">
        <v>0</v>
      </c>
      <c r="AB21" s="64">
        <v>0.2</v>
      </c>
      <c r="AC21" s="79">
        <v>0.2</v>
      </c>
      <c r="AD21" s="71">
        <v>0.3</v>
      </c>
      <c r="AE21" s="71">
        <v>0.6</v>
      </c>
      <c r="AF21" s="11"/>
      <c r="AG21" s="11"/>
      <c r="AH21" s="18"/>
      <c r="AI21" s="18"/>
      <c r="AJ21" s="18"/>
      <c r="AO21" s="11"/>
      <c r="AP21" s="11"/>
      <c r="AR21" s="18"/>
      <c r="AS21" s="15"/>
      <c r="AZ21" s="18"/>
      <c r="BH21" s="16"/>
      <c r="BR21" s="15"/>
      <c r="BT21" s="15"/>
      <c r="BY21" s="20"/>
      <c r="CA21" s="11"/>
      <c r="CB21" s="15"/>
      <c r="CC21" s="15"/>
      <c r="CD21" s="15"/>
      <c r="CE21" s="21"/>
      <c r="CJ21" s="15"/>
    </row>
    <row r="22" spans="2:88" ht="12" customHeight="1">
      <c r="B22" s="7" t="s">
        <v>20</v>
      </c>
      <c r="C22" s="13">
        <v>30</v>
      </c>
      <c r="D22" s="7" t="s">
        <v>3</v>
      </c>
      <c r="E22" s="36">
        <f t="shared" si="0"/>
        <v>0.9822525426364028</v>
      </c>
      <c r="F22" s="23">
        <f t="shared" si="1"/>
        <v>51.35059132496292</v>
      </c>
      <c r="G22" s="13"/>
      <c r="H22" s="10"/>
      <c r="I22" s="11"/>
      <c r="Q22" s="9"/>
      <c r="R22" s="12"/>
      <c r="AC22" s="9"/>
      <c r="AD22" s="11"/>
      <c r="AE22" s="11"/>
      <c r="AF22" s="11"/>
      <c r="AG22" s="11"/>
      <c r="AH22" s="18"/>
      <c r="AI22" s="18"/>
      <c r="AJ22" s="18"/>
      <c r="AO22" s="11"/>
      <c r="AP22" s="11"/>
      <c r="AR22" s="18"/>
      <c r="AS22" s="15"/>
      <c r="AZ22" s="18"/>
      <c r="BH22" s="16"/>
      <c r="BR22" s="15"/>
      <c r="BT22" s="15"/>
      <c r="BY22" s="20"/>
      <c r="CA22" s="11"/>
      <c r="CB22" s="15"/>
      <c r="CC22" s="15"/>
      <c r="CD22" s="15"/>
      <c r="CE22" s="21"/>
      <c r="CJ22" s="15"/>
    </row>
    <row r="23" spans="16:86" ht="6" customHeight="1">
      <c r="P23" s="24"/>
      <c r="AA23" s="9"/>
      <c r="AB23" s="11"/>
      <c r="AC23" s="11"/>
      <c r="AD23" s="11"/>
      <c r="AE23" s="11"/>
      <c r="AF23" s="18"/>
      <c r="AG23" s="18"/>
      <c r="AH23" s="18"/>
      <c r="AM23" s="11"/>
      <c r="AN23" s="11"/>
      <c r="AP23" s="18"/>
      <c r="AQ23" s="15"/>
      <c r="AX23" s="18"/>
      <c r="BF23" s="16"/>
      <c r="BP23" s="15"/>
      <c r="BR23" s="15"/>
      <c r="BW23" s="20"/>
      <c r="BY23" s="11"/>
      <c r="BZ23" s="15"/>
      <c r="CA23" s="15"/>
      <c r="CB23" s="15"/>
      <c r="CC23" s="21"/>
      <c r="CH23" s="15"/>
    </row>
    <row r="24" spans="2:86" ht="12" customHeight="1">
      <c r="B24" s="8" t="s">
        <v>26</v>
      </c>
      <c r="C24" s="8"/>
      <c r="D24" s="8"/>
      <c r="E24" s="22"/>
      <c r="F24" s="3"/>
      <c r="G24" s="17"/>
      <c r="H24" s="33" t="s">
        <v>58</v>
      </c>
      <c r="P24" s="24"/>
      <c r="V24" s="7" t="s">
        <v>93</v>
      </c>
      <c r="AB24" s="11"/>
      <c r="AC24" s="11"/>
      <c r="AD24" s="11"/>
      <c r="AE24" s="11"/>
      <c r="AF24" s="18"/>
      <c r="AG24" s="18"/>
      <c r="AH24" s="18"/>
      <c r="AP24" s="18"/>
      <c r="AQ24" s="15"/>
      <c r="AX24" s="18"/>
      <c r="BR24" s="15"/>
      <c r="BW24" s="20"/>
      <c r="BY24" s="11"/>
      <c r="BZ24" s="15"/>
      <c r="CA24" s="15"/>
      <c r="CB24" s="15"/>
      <c r="CC24" s="21"/>
      <c r="CH24" s="15"/>
    </row>
    <row r="25" spans="2:86" ht="12" customHeight="1">
      <c r="B25" s="7" t="s">
        <v>28</v>
      </c>
      <c r="D25" s="96" t="s">
        <v>116</v>
      </c>
      <c r="L25" s="81" t="s">
        <v>88</v>
      </c>
      <c r="M25" s="82"/>
      <c r="N25" s="82"/>
      <c r="O25" s="82"/>
      <c r="P25" s="83" t="s">
        <v>89</v>
      </c>
      <c r="Q25" s="82"/>
      <c r="R25" s="82"/>
      <c r="S25" s="84"/>
      <c r="W25" s="7">
        <v>0</v>
      </c>
      <c r="X25" s="7">
        <v>10</v>
      </c>
      <c r="Y25" s="7">
        <v>15</v>
      </c>
      <c r="Z25" s="7">
        <v>20</v>
      </c>
      <c r="AA25" s="7">
        <v>25</v>
      </c>
      <c r="AB25" s="7">
        <v>30</v>
      </c>
      <c r="AC25" s="9">
        <v>35</v>
      </c>
      <c r="AD25" s="11">
        <v>45</v>
      </c>
      <c r="AE25" s="11">
        <v>60</v>
      </c>
      <c r="AF25" s="18"/>
      <c r="AG25" s="18"/>
      <c r="AH25" s="18"/>
      <c r="AP25" s="18"/>
      <c r="AQ25" s="15"/>
      <c r="AX25" s="16"/>
      <c r="BG25" s="15"/>
      <c r="BQ25" s="18"/>
      <c r="BR25" s="15"/>
      <c r="BW25" s="15"/>
      <c r="BZ25" s="15"/>
      <c r="CH25" s="19"/>
    </row>
    <row r="26" spans="2:86" ht="12" customHeight="1">
      <c r="B26" s="9" t="s">
        <v>31</v>
      </c>
      <c r="C26" s="103">
        <v>57</v>
      </c>
      <c r="D26" s="9" t="s">
        <v>32</v>
      </c>
      <c r="E26" s="26">
        <f>C26/C27</f>
        <v>1.14</v>
      </c>
      <c r="L26" s="43"/>
      <c r="M26" s="11"/>
      <c r="N26" s="11" t="s">
        <v>80</v>
      </c>
      <c r="O26" s="11" t="s">
        <v>70</v>
      </c>
      <c r="P26" s="11" t="s">
        <v>71</v>
      </c>
      <c r="Q26" s="25"/>
      <c r="R26" s="11"/>
      <c r="S26" s="53"/>
      <c r="V26" s="7">
        <v>0</v>
      </c>
      <c r="W26" s="64">
        <v>-0.7</v>
      </c>
      <c r="X26" s="64">
        <v>-0.7</v>
      </c>
      <c r="Y26" s="64">
        <v>-0.5</v>
      </c>
      <c r="Z26" s="64">
        <v>-0.3</v>
      </c>
      <c r="AA26" s="64">
        <v>-0.2</v>
      </c>
      <c r="AB26" s="64">
        <v>-0.2</v>
      </c>
      <c r="AC26" s="79">
        <v>0</v>
      </c>
      <c r="AD26" s="71">
        <v>0</v>
      </c>
      <c r="AE26" s="71">
        <v>0</v>
      </c>
      <c r="AF26" s="18"/>
      <c r="AG26" s="18"/>
      <c r="AH26" s="18"/>
      <c r="AP26" s="18"/>
      <c r="AQ26" s="15"/>
      <c r="AX26" s="16"/>
      <c r="BG26" s="15"/>
      <c r="BQ26" s="18"/>
      <c r="BR26" s="15"/>
      <c r="BW26" s="15"/>
      <c r="BZ26" s="15"/>
      <c r="CH26" s="19"/>
    </row>
    <row r="27" spans="2:87" ht="12" customHeight="1">
      <c r="B27" s="9" t="s">
        <v>34</v>
      </c>
      <c r="C27" s="103">
        <v>50</v>
      </c>
      <c r="D27" s="9" t="s">
        <v>33</v>
      </c>
      <c r="E27" s="26">
        <f>$F$12/C26</f>
        <v>0.2532894736842105</v>
      </c>
      <c r="G27" s="10"/>
      <c r="H27" s="11" t="s">
        <v>37</v>
      </c>
      <c r="L27" s="43"/>
      <c r="M27" s="51" t="s">
        <v>79</v>
      </c>
      <c r="N27" s="11"/>
      <c r="O27" s="70">
        <f>IF($H$9&gt;=20,20,IF($H$9&gt;15,15,IF($H$9&gt;10,10,0)))</f>
        <v>20</v>
      </c>
      <c r="P27" s="70">
        <f>IF($H$9&gt;=20,45,IF($H$9&gt;15,20,IF($H$9&gt;10,15,10)))</f>
        <v>45</v>
      </c>
      <c r="Q27" s="29"/>
      <c r="R27" s="11"/>
      <c r="S27" s="53"/>
      <c r="V27" s="7">
        <v>0.25</v>
      </c>
      <c r="W27" s="64">
        <v>-0.7</v>
      </c>
      <c r="X27" s="64">
        <v>-0.7</v>
      </c>
      <c r="Y27" s="64">
        <v>-0.5</v>
      </c>
      <c r="Z27" s="64">
        <v>-0.3</v>
      </c>
      <c r="AA27" s="64">
        <v>-0.2</v>
      </c>
      <c r="AB27" s="64">
        <v>-0.2</v>
      </c>
      <c r="AC27" s="79">
        <v>0</v>
      </c>
      <c r="AD27" s="71">
        <v>0</v>
      </c>
      <c r="AE27" s="71">
        <v>0</v>
      </c>
      <c r="AF27" s="11"/>
      <c r="AG27" s="18"/>
      <c r="AH27" s="18"/>
      <c r="AI27" s="18"/>
      <c r="AQ27" s="18"/>
      <c r="AR27" s="15"/>
      <c r="AY27" s="16"/>
      <c r="BH27" s="15"/>
      <c r="BR27" s="18"/>
      <c r="BS27" s="15"/>
      <c r="BX27" s="15"/>
      <c r="CA27" s="15"/>
      <c r="CI27" s="19"/>
    </row>
    <row r="28" spans="2:87" ht="12" customHeight="1">
      <c r="B28" s="9"/>
      <c r="C28" s="13"/>
      <c r="D28" s="27" t="s">
        <v>35</v>
      </c>
      <c r="E28" s="28" t="s">
        <v>61</v>
      </c>
      <c r="F28" s="28" t="s">
        <v>36</v>
      </c>
      <c r="G28" s="28" t="s">
        <v>56</v>
      </c>
      <c r="H28" s="27" t="s">
        <v>46</v>
      </c>
      <c r="I28" s="27" t="s">
        <v>47</v>
      </c>
      <c r="L28" s="43"/>
      <c r="M28" s="51" t="s">
        <v>68</v>
      </c>
      <c r="N28" s="70">
        <f>IF(N31&gt;=1,1,IF(N31&gt;0.5,0.5,IF(N31&gt;0.25,0.25,0)))</f>
        <v>0.25</v>
      </c>
      <c r="O28" s="72">
        <f>VLOOKUP(N28,$V$4:$AA$8,MATCH(O27,$V$3:$AA$3,0),FALSE)</f>
        <v>-0.6</v>
      </c>
      <c r="P28" s="70">
        <f>VLOOKUP(N28,$V$4:$AA$8,MATCH(P27,$V$3:$AA$3,0),FALSE)</f>
        <v>-0.6</v>
      </c>
      <c r="Q28" s="51" t="s">
        <v>75</v>
      </c>
      <c r="R28" s="70">
        <f>((N29-N31)/(N29-N28))*O28+((N31-N28)/(N29-N28))*O29</f>
        <v>-0.6</v>
      </c>
      <c r="S28" s="53"/>
      <c r="V28" s="7">
        <v>0.5</v>
      </c>
      <c r="W28" s="64">
        <v>-0.9</v>
      </c>
      <c r="X28" s="64">
        <v>-0.9</v>
      </c>
      <c r="Y28" s="64">
        <v>-0.7</v>
      </c>
      <c r="Z28" s="64">
        <v>-0.4</v>
      </c>
      <c r="AA28" s="64">
        <v>-0.3</v>
      </c>
      <c r="AB28" s="64">
        <v>-0.2</v>
      </c>
      <c r="AC28" s="79">
        <v>-0.2</v>
      </c>
      <c r="AD28" s="71">
        <v>0</v>
      </c>
      <c r="AE28" s="71">
        <v>0</v>
      </c>
      <c r="AF28" s="11"/>
      <c r="AG28" s="18"/>
      <c r="AH28" s="18"/>
      <c r="AI28" s="18"/>
      <c r="AQ28" s="18"/>
      <c r="AR28" s="15"/>
      <c r="AY28" s="16"/>
      <c r="BH28" s="15"/>
      <c r="BR28" s="18"/>
      <c r="BS28" s="15"/>
      <c r="BX28" s="15"/>
      <c r="CA28" s="15"/>
      <c r="CI28" s="19"/>
    </row>
    <row r="29" spans="2:87" ht="12" customHeight="1">
      <c r="B29" s="7" t="s">
        <v>29</v>
      </c>
      <c r="D29" s="7">
        <v>15</v>
      </c>
      <c r="E29" s="26">
        <f>$F$19</f>
        <v>44.37830525598945</v>
      </c>
      <c r="F29" s="38">
        <v>0.8</v>
      </c>
      <c r="G29" s="10">
        <f>E29*F29*$F$7</f>
        <v>30.17724757407283</v>
      </c>
      <c r="H29" s="32">
        <f>$G29-$F$18*F$8</f>
        <v>22.18915262799473</v>
      </c>
      <c r="I29" s="32">
        <f>$G29-$F$18*G$8</f>
        <v>38.16534252015093</v>
      </c>
      <c r="L29" s="43"/>
      <c r="M29" s="51" t="s">
        <v>69</v>
      </c>
      <c r="N29" s="70">
        <f>IF(N31&gt;=1,100,IF(N31&gt;0.5,1,IF(N31&gt;0.25,0.5,0.25)))</f>
        <v>0.5</v>
      </c>
      <c r="O29" s="72">
        <f>VLOOKUP(N29,$V$4:$AA$8,MATCH(O27,$V$3:$AA$3,0),FALSE)</f>
        <v>-0.6</v>
      </c>
      <c r="P29" s="70">
        <f>VLOOKUP(N29,$V$4:$AA$8,MATCH(P27,$V$3:$AA$3,0),FALSE)</f>
        <v>-0.6</v>
      </c>
      <c r="Q29" s="51" t="s">
        <v>76</v>
      </c>
      <c r="R29" s="70">
        <f>((N29-N31)/(N29-N28))*P28+((N31-N28)/(N29-N28))*P29</f>
        <v>-0.6</v>
      </c>
      <c r="S29" s="53"/>
      <c r="V29" s="7">
        <v>1</v>
      </c>
      <c r="W29" s="64">
        <v>-1.3</v>
      </c>
      <c r="X29" s="64">
        <v>-1.3</v>
      </c>
      <c r="Y29" s="64">
        <v>-1</v>
      </c>
      <c r="Z29" s="64">
        <v>-0.7</v>
      </c>
      <c r="AA29" s="64">
        <v>-0.5</v>
      </c>
      <c r="AB29" s="64">
        <v>-0.3</v>
      </c>
      <c r="AC29" s="79">
        <v>-0.2</v>
      </c>
      <c r="AD29" s="71">
        <v>0</v>
      </c>
      <c r="AE29" s="71">
        <v>0</v>
      </c>
      <c r="AF29" s="11"/>
      <c r="AG29" s="18"/>
      <c r="AH29" s="18"/>
      <c r="AI29" s="18"/>
      <c r="AQ29" s="18"/>
      <c r="AR29" s="15"/>
      <c r="AY29" s="16"/>
      <c r="BH29" s="15"/>
      <c r="BR29" s="18"/>
      <c r="BS29" s="15"/>
      <c r="BX29" s="15"/>
      <c r="CA29" s="15"/>
      <c r="CI29" s="19"/>
    </row>
    <row r="30" spans="4:87" ht="12" customHeight="1">
      <c r="D30" s="7">
        <v>20</v>
      </c>
      <c r="E30" s="26">
        <f>$F$20</f>
        <v>47.14912148186027</v>
      </c>
      <c r="F30" s="38">
        <v>0.8</v>
      </c>
      <c r="G30" s="10">
        <f aca="true" t="shared" si="2" ref="G30:G41">E30*F30*$F$7</f>
        <v>32.06140260766498</v>
      </c>
      <c r="H30" s="32">
        <f aca="true" t="shared" si="3" ref="H30:H41">$G30-$F$18*F$8</f>
        <v>24.07330766158688</v>
      </c>
      <c r="I30" s="32">
        <f aca="true" t="shared" si="4" ref="I30:I41">$G30-$F$18*G$8</f>
        <v>40.04949755374308</v>
      </c>
      <c r="L30" s="43"/>
      <c r="M30" s="51"/>
      <c r="N30" s="11"/>
      <c r="O30" s="51"/>
      <c r="P30" s="11"/>
      <c r="Q30" s="51"/>
      <c r="R30" s="11"/>
      <c r="S30" s="53"/>
      <c r="V30" s="7">
        <v>100</v>
      </c>
      <c r="W30" s="64">
        <v>-1.3</v>
      </c>
      <c r="X30" s="64">
        <v>-1.3</v>
      </c>
      <c r="Y30" s="64">
        <v>-1</v>
      </c>
      <c r="Z30" s="64">
        <v>-0.7</v>
      </c>
      <c r="AA30" s="64">
        <v>-0.5</v>
      </c>
      <c r="AB30" s="64">
        <v>-0.3</v>
      </c>
      <c r="AC30" s="79">
        <v>-0.2</v>
      </c>
      <c r="AD30" s="71">
        <v>0</v>
      </c>
      <c r="AE30" s="71">
        <v>0</v>
      </c>
      <c r="AF30" s="11"/>
      <c r="AG30" s="18"/>
      <c r="AH30" s="18"/>
      <c r="AI30" s="18"/>
      <c r="AQ30" s="18"/>
      <c r="AR30" s="15"/>
      <c r="AY30" s="16"/>
      <c r="BH30" s="15"/>
      <c r="BR30" s="18"/>
      <c r="BS30" s="15"/>
      <c r="BX30" s="15"/>
      <c r="CA30" s="15"/>
      <c r="CI30" s="19"/>
    </row>
    <row r="31" spans="4:87" ht="12" customHeight="1">
      <c r="D31" s="7">
        <v>25</v>
      </c>
      <c r="E31" s="26">
        <f>$F$21</f>
        <v>49.416924475885025</v>
      </c>
      <c r="F31" s="38">
        <v>0.8</v>
      </c>
      <c r="G31" s="10">
        <f>E31*F31*$F$7</f>
        <v>33.60350864360182</v>
      </c>
      <c r="H31" s="32">
        <f t="shared" si="3"/>
        <v>25.61541369752372</v>
      </c>
      <c r="I31" s="32">
        <f t="shared" si="4"/>
        <v>41.59160358967992</v>
      </c>
      <c r="L31" s="43"/>
      <c r="M31" s="51" t="s">
        <v>72</v>
      </c>
      <c r="N31" s="58">
        <f>$E$27</f>
        <v>0.2532894736842105</v>
      </c>
      <c r="O31" s="51" t="s">
        <v>73</v>
      </c>
      <c r="P31" s="58">
        <f>$H$9</f>
        <v>26.56505117707799</v>
      </c>
      <c r="Q31" s="51" t="s">
        <v>77</v>
      </c>
      <c r="R31" s="73">
        <f>((P27-P31)/(P27-O27))*R28+((P31-O27)/(P27-O27))*R29</f>
        <v>-0.6</v>
      </c>
      <c r="S31" s="53"/>
      <c r="AF31" s="11"/>
      <c r="AG31" s="18"/>
      <c r="AH31" s="18"/>
      <c r="AI31" s="18"/>
      <c r="AQ31" s="18"/>
      <c r="AR31" s="15"/>
      <c r="AY31" s="16"/>
      <c r="BH31" s="15"/>
      <c r="BR31" s="18"/>
      <c r="BS31" s="15"/>
      <c r="BX31" s="15"/>
      <c r="CA31" s="15"/>
      <c r="CI31" s="19"/>
    </row>
    <row r="32" spans="4:87" ht="12" customHeight="1">
      <c r="D32" s="7">
        <v>30</v>
      </c>
      <c r="E32" s="26">
        <f>$F$22</f>
        <v>51.35059132496292</v>
      </c>
      <c r="F32" s="38">
        <v>0.8</v>
      </c>
      <c r="G32" s="10">
        <f>E32*F32*$F$7</f>
        <v>34.91840210097479</v>
      </c>
      <c r="H32" s="32">
        <f t="shared" si="3"/>
        <v>26.93030715489669</v>
      </c>
      <c r="I32" s="32">
        <f t="shared" si="4"/>
        <v>42.90649704705289</v>
      </c>
      <c r="L32" s="48"/>
      <c r="M32" s="49"/>
      <c r="N32" s="49"/>
      <c r="O32" s="49"/>
      <c r="P32" s="27"/>
      <c r="Q32" s="56"/>
      <c r="R32" s="49"/>
      <c r="S32" s="54"/>
      <c r="AF32" s="11"/>
      <c r="AG32" s="18"/>
      <c r="AH32" s="18"/>
      <c r="AI32" s="18"/>
      <c r="AQ32" s="18"/>
      <c r="AR32" s="15"/>
      <c r="AY32" s="16"/>
      <c r="BH32" s="15"/>
      <c r="BR32" s="18"/>
      <c r="BS32" s="15"/>
      <c r="BX32" s="15"/>
      <c r="CA32" s="15"/>
      <c r="CI32" s="19"/>
    </row>
    <row r="33" spans="2:87" ht="12" customHeight="1">
      <c r="B33" s="7" t="s">
        <v>30</v>
      </c>
      <c r="D33" s="10">
        <f>$C$18</f>
        <v>14.4375</v>
      </c>
      <c r="E33" s="26">
        <f>$F$18</f>
        <v>44.37830525598945</v>
      </c>
      <c r="F33" s="65">
        <f>IF(E26&gt;=4,R7,IF(E26&gt;2,R6,IF(E26&gt;1,R5,R4)))</f>
        <v>-0.47200000000000003</v>
      </c>
      <c r="G33" s="10">
        <f t="shared" si="2"/>
        <v>-17.804576068702968</v>
      </c>
      <c r="H33" s="32">
        <f t="shared" si="3"/>
        <v>-25.79267101478107</v>
      </c>
      <c r="I33" s="32">
        <f t="shared" si="4"/>
        <v>-9.816481122624866</v>
      </c>
      <c r="V33" s="7" t="s">
        <v>98</v>
      </c>
      <c r="AF33" s="11"/>
      <c r="AG33" s="18"/>
      <c r="AH33" s="18"/>
      <c r="AI33" s="18"/>
      <c r="AQ33" s="18"/>
      <c r="AR33" s="15"/>
      <c r="AY33" s="16"/>
      <c r="BH33" s="15"/>
      <c r="BR33" s="18"/>
      <c r="BS33" s="15"/>
      <c r="BX33" s="15"/>
      <c r="CA33" s="15"/>
      <c r="CI33" s="19"/>
    </row>
    <row r="34" spans="2:87" ht="12" customHeight="1">
      <c r="B34" s="7" t="s">
        <v>38</v>
      </c>
      <c r="D34" s="10">
        <f>$C$18</f>
        <v>14.4375</v>
      </c>
      <c r="E34" s="26">
        <f aca="true" t="shared" si="5" ref="E34:E41">$F$18</f>
        <v>44.37830525598945</v>
      </c>
      <c r="F34" s="38">
        <v>-0.7</v>
      </c>
      <c r="G34" s="10">
        <f t="shared" si="2"/>
        <v>-26.40509162731372</v>
      </c>
      <c r="H34" s="32">
        <f t="shared" si="3"/>
        <v>-34.39318657339182</v>
      </c>
      <c r="I34" s="32">
        <f t="shared" si="4"/>
        <v>-18.416996681235617</v>
      </c>
      <c r="L34" s="81" t="s">
        <v>90</v>
      </c>
      <c r="M34" s="82"/>
      <c r="N34" s="82"/>
      <c r="O34" s="82"/>
      <c r="P34" s="83" t="s">
        <v>89</v>
      </c>
      <c r="Q34" s="82"/>
      <c r="R34" s="82"/>
      <c r="S34" s="84"/>
      <c r="V34" s="7" t="s">
        <v>99</v>
      </c>
      <c r="Y34" s="7" t="s">
        <v>101</v>
      </c>
      <c r="AB34" s="7" t="s">
        <v>102</v>
      </c>
      <c r="AE34" s="7" t="s">
        <v>103</v>
      </c>
      <c r="AG34" s="18"/>
      <c r="AH34" s="18"/>
      <c r="AI34" s="18"/>
      <c r="AR34" s="15"/>
      <c r="AY34" s="16"/>
      <c r="CI34" s="15"/>
    </row>
    <row r="35" spans="2:87" ht="12" customHeight="1">
      <c r="B35" s="7" t="s">
        <v>48</v>
      </c>
      <c r="D35" s="10">
        <f>$C$18</f>
        <v>14.4375</v>
      </c>
      <c r="E35" s="26">
        <f t="shared" si="5"/>
        <v>44.37830525598945</v>
      </c>
      <c r="F35" s="65">
        <f>R50</f>
        <v>0.29868421052631583</v>
      </c>
      <c r="G35" s="10">
        <f t="shared" si="2"/>
        <v>11.266834209398903</v>
      </c>
      <c r="H35" s="32">
        <f t="shared" si="3"/>
        <v>3.2787392633208015</v>
      </c>
      <c r="I35" s="32">
        <f t="shared" si="4"/>
        <v>19.254929155477004</v>
      </c>
      <c r="L35" s="43"/>
      <c r="M35" s="11"/>
      <c r="N35" s="11" t="s">
        <v>80</v>
      </c>
      <c r="O35" s="11" t="s">
        <v>70</v>
      </c>
      <c r="P35" s="11" t="s">
        <v>71</v>
      </c>
      <c r="Q35" s="25"/>
      <c r="R35" s="11"/>
      <c r="S35" s="53"/>
      <c r="V35" s="7">
        <v>0</v>
      </c>
      <c r="W35" s="64">
        <v>-0.9</v>
      </c>
      <c r="Y35" s="7">
        <v>0</v>
      </c>
      <c r="Z35" s="64">
        <v>-0.9</v>
      </c>
      <c r="AB35" s="7">
        <v>0</v>
      </c>
      <c r="AC35" s="64">
        <v>-0.5</v>
      </c>
      <c r="AE35" s="7">
        <v>0</v>
      </c>
      <c r="AF35" s="64">
        <v>-0.3</v>
      </c>
      <c r="AG35" s="18"/>
      <c r="AH35" s="18"/>
      <c r="AI35" s="18"/>
      <c r="AR35" s="15"/>
      <c r="AY35" s="16"/>
      <c r="CI35" s="15"/>
    </row>
    <row r="36" spans="2:87" ht="12" customHeight="1">
      <c r="B36" s="7" t="s">
        <v>49</v>
      </c>
      <c r="D36" s="10">
        <f>$C$18</f>
        <v>14.4375</v>
      </c>
      <c r="E36" s="26">
        <f t="shared" si="5"/>
        <v>44.37830525598945</v>
      </c>
      <c r="F36" s="65">
        <f>R59</f>
        <v>-0.20090393390076894</v>
      </c>
      <c r="G36" s="10">
        <f t="shared" si="2"/>
        <v>-7.578409689910834</v>
      </c>
      <c r="H36" s="32">
        <f t="shared" si="3"/>
        <v>-15.566504635988935</v>
      </c>
      <c r="I36" s="32">
        <f t="shared" si="4"/>
        <v>0.4096852561672675</v>
      </c>
      <c r="L36" s="43"/>
      <c r="M36" s="51" t="s">
        <v>79</v>
      </c>
      <c r="N36" s="11"/>
      <c r="O36" s="70">
        <f>IF($H$9&gt;=20,20,IF($H$9&gt;15,15,IF($H$9&gt;10,10,0)))</f>
        <v>20</v>
      </c>
      <c r="P36" s="70">
        <f>IF($H$9&gt;=20,45,IF($H$9&gt;15,20,IF($H$9&gt;10,15,10)))</f>
        <v>45</v>
      </c>
      <c r="Q36" s="29"/>
      <c r="R36" s="11"/>
      <c r="S36" s="53"/>
      <c r="V36" s="7">
        <v>0.5</v>
      </c>
      <c r="W36" s="64">
        <v>-0.9</v>
      </c>
      <c r="Y36" s="7">
        <v>0.5</v>
      </c>
      <c r="Z36" s="64">
        <v>-0.9</v>
      </c>
      <c r="AB36" s="7">
        <v>0.5</v>
      </c>
      <c r="AC36" s="64">
        <v>-0.5</v>
      </c>
      <c r="AE36" s="7">
        <v>0.5</v>
      </c>
      <c r="AF36" s="64">
        <v>-0.3</v>
      </c>
      <c r="AG36" s="18"/>
      <c r="AH36" s="18"/>
      <c r="AI36" s="18"/>
      <c r="AR36" s="15"/>
      <c r="AY36" s="16"/>
      <c r="CI36" s="15"/>
    </row>
    <row r="37" spans="2:89" ht="12" customHeight="1">
      <c r="B37" s="7" t="s">
        <v>39</v>
      </c>
      <c r="D37" s="10">
        <f>$C$18</f>
        <v>14.4375</v>
      </c>
      <c r="E37" s="26">
        <f t="shared" si="5"/>
        <v>44.37830525598945</v>
      </c>
      <c r="F37" s="65">
        <f>R31</f>
        <v>-0.6</v>
      </c>
      <c r="G37" s="10">
        <f t="shared" si="2"/>
        <v>-22.63293568055462</v>
      </c>
      <c r="H37" s="32">
        <f t="shared" si="3"/>
        <v>-30.621030626632724</v>
      </c>
      <c r="I37" s="32">
        <f t="shared" si="4"/>
        <v>-14.644840734476519</v>
      </c>
      <c r="L37" s="43"/>
      <c r="M37" s="51" t="s">
        <v>68</v>
      </c>
      <c r="N37" s="70">
        <f>IF(N40&gt;=1,1,IF(N40&gt;0.5,0.5,IF(N40&gt;0.25,0.25,0)))</f>
        <v>0.25</v>
      </c>
      <c r="O37" s="72">
        <f>VLOOKUP(N37,$V$4:$AA$8,MATCH(O36,$V$3:$AA$3,0),FALSE)</f>
        <v>-0.6</v>
      </c>
      <c r="P37" s="70">
        <f>VLOOKUP(N37,$V$4:$AA$8,MATCH(P36,$V$3:$AA$3,0),FALSE)</f>
        <v>-0.6</v>
      </c>
      <c r="Q37" s="51" t="s">
        <v>75</v>
      </c>
      <c r="R37" s="70">
        <f>((N38-N40)/(N38-N37))*O37+((N40-N37)/(N38-N37))*O38</f>
        <v>-0.6</v>
      </c>
      <c r="S37" s="53"/>
      <c r="V37" s="7">
        <v>1</v>
      </c>
      <c r="W37" s="64">
        <v>-1.3</v>
      </c>
      <c r="Y37" s="7">
        <v>1</v>
      </c>
      <c r="Z37" s="64">
        <v>-0.7</v>
      </c>
      <c r="AB37" s="7">
        <v>1</v>
      </c>
      <c r="AC37" s="64">
        <v>-0.7</v>
      </c>
      <c r="AE37" s="7">
        <v>1</v>
      </c>
      <c r="AF37" s="64">
        <v>-0.7</v>
      </c>
      <c r="AG37" s="18"/>
      <c r="AH37" s="18"/>
      <c r="AI37" s="18"/>
      <c r="AO37" s="12"/>
      <c r="AP37" s="16"/>
      <c r="AQ37" s="18"/>
      <c r="AR37" s="15"/>
      <c r="BA37" s="15"/>
      <c r="BM37" s="30"/>
      <c r="CI37" s="15"/>
      <c r="CK37" s="8"/>
    </row>
    <row r="38" spans="2:89" ht="12" customHeight="1">
      <c r="B38" s="7" t="s">
        <v>40</v>
      </c>
      <c r="D38" s="7" t="s">
        <v>41</v>
      </c>
      <c r="E38" s="26">
        <f t="shared" si="5"/>
        <v>44.37830525598945</v>
      </c>
      <c r="F38" s="65">
        <f>Z49</f>
        <v>-0.9</v>
      </c>
      <c r="G38" s="10">
        <f t="shared" si="2"/>
        <v>-33.94940352083193</v>
      </c>
      <c r="H38" s="32">
        <f t="shared" si="3"/>
        <v>-41.93749846691003</v>
      </c>
      <c r="I38" s="32">
        <f t="shared" si="4"/>
        <v>-25.96130857475383</v>
      </c>
      <c r="L38" s="43"/>
      <c r="M38" s="51" t="s">
        <v>69</v>
      </c>
      <c r="N38" s="70">
        <f>IF(N40&gt;=1,100,IF(N40&gt;0.5,1,IF(N40&gt;0.25,0.5,0.25)))</f>
        <v>0.5</v>
      </c>
      <c r="O38" s="72">
        <f>VLOOKUP(N38,$V$4:$AA$8,MATCH(O36,$V$3:$AA$3,0),FALSE)</f>
        <v>-0.6</v>
      </c>
      <c r="P38" s="70">
        <f>VLOOKUP(N38,$V$4:$AA$8,MATCH(P36,$V$3:$AA$3,0),FALSE)</f>
        <v>-0.6</v>
      </c>
      <c r="Q38" s="51" t="s">
        <v>76</v>
      </c>
      <c r="R38" s="70">
        <f>((N38-N40)/(N38-N37))*P37+((N40-N37)/(N38-N37))*P38</f>
        <v>-0.6</v>
      </c>
      <c r="S38" s="53"/>
      <c r="V38" s="7">
        <v>100</v>
      </c>
      <c r="W38" s="64">
        <v>-1.3</v>
      </c>
      <c r="Y38" s="7">
        <v>100</v>
      </c>
      <c r="Z38" s="64">
        <v>-0.7</v>
      </c>
      <c r="AB38" s="7">
        <v>100</v>
      </c>
      <c r="AC38" s="64">
        <v>-0.7</v>
      </c>
      <c r="AE38" s="7">
        <v>100</v>
      </c>
      <c r="AF38" s="64">
        <v>-0.7</v>
      </c>
      <c r="AG38" s="18"/>
      <c r="AH38" s="18"/>
      <c r="AI38" s="18"/>
      <c r="AO38" s="12"/>
      <c r="AP38" s="16"/>
      <c r="AQ38" s="18"/>
      <c r="AR38" s="15"/>
      <c r="BA38" s="15"/>
      <c r="BM38" s="30"/>
      <c r="CI38" s="15"/>
      <c r="CK38" s="8"/>
    </row>
    <row r="39" spans="4:89" ht="12" customHeight="1">
      <c r="D39" s="7" t="s">
        <v>42</v>
      </c>
      <c r="E39" s="26">
        <f t="shared" si="5"/>
        <v>44.37830525598945</v>
      </c>
      <c r="F39" s="65">
        <f>Z57</f>
        <v>-0.9</v>
      </c>
      <c r="G39" s="10">
        <f t="shared" si="2"/>
        <v>-33.94940352083193</v>
      </c>
      <c r="H39" s="32">
        <f t="shared" si="3"/>
        <v>-41.93749846691003</v>
      </c>
      <c r="I39" s="32">
        <f t="shared" si="4"/>
        <v>-25.96130857475383</v>
      </c>
      <c r="L39" s="43"/>
      <c r="M39" s="51"/>
      <c r="N39" s="11"/>
      <c r="O39" s="51"/>
      <c r="P39" s="11"/>
      <c r="Q39" s="51"/>
      <c r="R39" s="11"/>
      <c r="S39" s="53"/>
      <c r="AF39" s="11"/>
      <c r="AG39" s="18"/>
      <c r="AH39" s="18"/>
      <c r="AI39" s="18"/>
      <c r="AO39" s="12"/>
      <c r="AP39" s="16"/>
      <c r="AQ39" s="18"/>
      <c r="AR39" s="15"/>
      <c r="BA39" s="15"/>
      <c r="BM39" s="30"/>
      <c r="CI39" s="15"/>
      <c r="CK39" s="8"/>
    </row>
    <row r="40" spans="4:89" ht="12" customHeight="1">
      <c r="D40" s="7" t="s">
        <v>43</v>
      </c>
      <c r="E40" s="26">
        <f t="shared" si="5"/>
        <v>44.37830525598945</v>
      </c>
      <c r="F40" s="65">
        <f>Z66</f>
        <v>-0.5</v>
      </c>
      <c r="G40" s="10">
        <f t="shared" si="2"/>
        <v>-18.860779733795518</v>
      </c>
      <c r="H40" s="32">
        <f t="shared" si="3"/>
        <v>-26.848874679873617</v>
      </c>
      <c r="I40" s="32">
        <f t="shared" si="4"/>
        <v>-10.872684787717416</v>
      </c>
      <c r="L40" s="43"/>
      <c r="M40" s="51" t="s">
        <v>72</v>
      </c>
      <c r="N40" s="58">
        <f>$E$45</f>
        <v>0.28875</v>
      </c>
      <c r="O40" s="51" t="s">
        <v>73</v>
      </c>
      <c r="P40" s="58">
        <f>$H$9</f>
        <v>26.56505117707799</v>
      </c>
      <c r="Q40" s="51" t="s">
        <v>77</v>
      </c>
      <c r="R40" s="73">
        <f>((P36-P40)/(P36-O36))*R37+((P40-O36)/(P36-O36))*R38</f>
        <v>-0.6</v>
      </c>
      <c r="S40" s="53"/>
      <c r="AF40" s="11"/>
      <c r="AG40" s="18"/>
      <c r="AH40" s="18"/>
      <c r="AI40" s="18"/>
      <c r="AO40" s="12"/>
      <c r="AP40" s="16"/>
      <c r="AQ40" s="18"/>
      <c r="AR40" s="15"/>
      <c r="BA40" s="15"/>
      <c r="BM40" s="30"/>
      <c r="CI40" s="15"/>
      <c r="CK40" s="8"/>
    </row>
    <row r="41" spans="4:89" ht="12" customHeight="1">
      <c r="D41" s="7" t="s">
        <v>44</v>
      </c>
      <c r="E41" s="26">
        <f t="shared" si="5"/>
        <v>44.37830525598945</v>
      </c>
      <c r="F41" s="65">
        <f>Z74</f>
        <v>-0.3</v>
      </c>
      <c r="G41" s="10">
        <f t="shared" si="2"/>
        <v>-11.31646784027731</v>
      </c>
      <c r="H41" s="32">
        <f t="shared" si="3"/>
        <v>-19.30456278635541</v>
      </c>
      <c r="I41" s="32">
        <f t="shared" si="4"/>
        <v>-3.328372894199209</v>
      </c>
      <c r="L41" s="48"/>
      <c r="M41" s="49"/>
      <c r="N41" s="49"/>
      <c r="O41" s="49"/>
      <c r="P41" s="27"/>
      <c r="Q41" s="56"/>
      <c r="R41" s="49"/>
      <c r="S41" s="54"/>
      <c r="AF41" s="11"/>
      <c r="AG41" s="18"/>
      <c r="AH41" s="18"/>
      <c r="AI41" s="18"/>
      <c r="AO41" s="12"/>
      <c r="AP41" s="16"/>
      <c r="AQ41" s="18"/>
      <c r="AR41" s="15"/>
      <c r="BA41" s="15"/>
      <c r="BM41" s="30"/>
      <c r="CI41" s="15"/>
      <c r="CK41" s="8"/>
    </row>
    <row r="42" spans="5:88" ht="6" customHeight="1">
      <c r="E42" s="26"/>
      <c r="AF42" s="18"/>
      <c r="AG42" s="18"/>
      <c r="AH42" s="18"/>
      <c r="AN42" s="12"/>
      <c r="AO42" s="16"/>
      <c r="AP42" s="18"/>
      <c r="AQ42" s="15"/>
      <c r="AZ42" s="15"/>
      <c r="BL42" s="30"/>
      <c r="CH42" s="15"/>
      <c r="CJ42" s="8"/>
    </row>
    <row r="43" spans="2:77" ht="12" customHeight="1">
      <c r="B43" s="7" t="s">
        <v>27</v>
      </c>
      <c r="D43" s="96" t="s">
        <v>116</v>
      </c>
      <c r="AP43" s="18"/>
      <c r="AQ43" s="15"/>
      <c r="AZ43" s="15"/>
      <c r="BA43" s="15"/>
      <c r="BB43" s="15"/>
      <c r="BG43" s="15"/>
      <c r="BL43" s="30"/>
      <c r="BY43" s="15"/>
    </row>
    <row r="44" spans="2:77" ht="12" customHeight="1">
      <c r="B44" s="9" t="s">
        <v>31</v>
      </c>
      <c r="C44" s="103">
        <v>50</v>
      </c>
      <c r="D44" s="9" t="s">
        <v>32</v>
      </c>
      <c r="E44" s="26">
        <f>C44/C45</f>
        <v>0.8771929824561403</v>
      </c>
      <c r="L44" s="67" t="s">
        <v>94</v>
      </c>
      <c r="M44" s="68"/>
      <c r="N44" s="68"/>
      <c r="O44" s="68"/>
      <c r="P44" s="69" t="s">
        <v>89</v>
      </c>
      <c r="Q44" s="68"/>
      <c r="R44" s="68"/>
      <c r="S44" s="66"/>
      <c r="V44" s="89" t="s">
        <v>104</v>
      </c>
      <c r="W44" s="90"/>
      <c r="X44" s="90"/>
      <c r="Y44" s="90"/>
      <c r="Z44" s="90"/>
      <c r="AA44" s="91"/>
      <c r="AC44" s="89" t="s">
        <v>106</v>
      </c>
      <c r="AD44" s="90"/>
      <c r="AE44" s="90"/>
      <c r="AF44" s="90"/>
      <c r="AG44" s="90"/>
      <c r="AH44" s="91"/>
      <c r="AZ44" s="15"/>
      <c r="BA44" s="15"/>
      <c r="BB44" s="15"/>
      <c r="BG44" s="15"/>
      <c r="BL44" s="30"/>
      <c r="BY44" s="16"/>
    </row>
    <row r="45" spans="2:90" ht="12" customHeight="1">
      <c r="B45" s="9" t="s">
        <v>34</v>
      </c>
      <c r="C45" s="103">
        <v>57</v>
      </c>
      <c r="D45" s="9" t="s">
        <v>33</v>
      </c>
      <c r="E45" s="26">
        <f>$F$12/C44</f>
        <v>0.28875</v>
      </c>
      <c r="G45" s="10"/>
      <c r="H45" s="11" t="s">
        <v>37</v>
      </c>
      <c r="L45" s="43"/>
      <c r="M45" s="11"/>
      <c r="N45" s="11" t="s">
        <v>80</v>
      </c>
      <c r="O45" s="11" t="s">
        <v>70</v>
      </c>
      <c r="P45" s="11" t="s">
        <v>71</v>
      </c>
      <c r="Q45" s="25"/>
      <c r="R45" s="11"/>
      <c r="S45" s="53"/>
      <c r="V45" s="43"/>
      <c r="W45" s="11"/>
      <c r="X45" s="11"/>
      <c r="Y45" s="11"/>
      <c r="Z45" s="11"/>
      <c r="AA45" s="45"/>
      <c r="AB45" s="29"/>
      <c r="AC45" s="43"/>
      <c r="AD45" s="11"/>
      <c r="AE45" s="11"/>
      <c r="AF45" s="11"/>
      <c r="AG45" s="11"/>
      <c r="AH45" s="45"/>
      <c r="AI45" s="18"/>
      <c r="BH45" s="19"/>
      <c r="BK45" s="8"/>
      <c r="BM45" s="30"/>
      <c r="BZ45" s="16"/>
      <c r="CL45" s="8"/>
    </row>
    <row r="46" spans="2:90" ht="12" customHeight="1">
      <c r="B46" s="9"/>
      <c r="C46" s="13"/>
      <c r="D46" s="27" t="s">
        <v>35</v>
      </c>
      <c r="E46" s="28" t="s">
        <v>60</v>
      </c>
      <c r="F46" s="28" t="s">
        <v>36</v>
      </c>
      <c r="G46" s="28" t="s">
        <v>56</v>
      </c>
      <c r="H46" s="27" t="s">
        <v>46</v>
      </c>
      <c r="I46" s="27" t="s">
        <v>47</v>
      </c>
      <c r="L46" s="43"/>
      <c r="M46" s="51" t="s">
        <v>79</v>
      </c>
      <c r="N46" s="11"/>
      <c r="O46" s="70">
        <f>IF($H$9&gt;=45,45,IF($H$9&gt;35,35,IF($H$9&gt;30,30,IF($H$9&gt;25,25,IF($H$9&gt;20,20,IF($H$9&gt;15,15,IF($H$9&gt;10,10,0)))))))</f>
        <v>25</v>
      </c>
      <c r="P46" s="70">
        <f>IF($H$9&gt;=45,60,IF($H$9&gt;35,45,IF($H$9&gt;30,35,IF($H$9&gt;25,30,IF($H$9&gt;20,25,IF($H$9&gt;15,20,IF($H$9&gt;10,15,10)))))))</f>
        <v>30</v>
      </c>
      <c r="Q46" s="29"/>
      <c r="R46" s="11"/>
      <c r="S46" s="53"/>
      <c r="V46" s="43"/>
      <c r="W46" s="51" t="s">
        <v>68</v>
      </c>
      <c r="X46" s="70">
        <f>IF(X49&gt;=1,1,IF(X49&gt;0.5,0.5,0))</f>
        <v>0</v>
      </c>
      <c r="Y46" s="51" t="s">
        <v>70</v>
      </c>
      <c r="Z46" s="70">
        <f>VLOOKUP(X46,$V$35:$W$38,2,FALSE)</f>
        <v>-0.9</v>
      </c>
      <c r="AA46" s="45"/>
      <c r="AC46" s="43"/>
      <c r="AD46" s="51" t="s">
        <v>68</v>
      </c>
      <c r="AE46" s="70">
        <f>IF(AE49&gt;=1,1,IF(AE49&gt;0.5,0.5,0))</f>
        <v>0</v>
      </c>
      <c r="AF46" s="51" t="s">
        <v>70</v>
      </c>
      <c r="AG46" s="70">
        <f>VLOOKUP(AE46,$V$35:$W$38,2,FALSE)</f>
        <v>-0.9</v>
      </c>
      <c r="AH46" s="45"/>
      <c r="AI46" s="18"/>
      <c r="BH46" s="19"/>
      <c r="BK46" s="8"/>
      <c r="BM46" s="30"/>
      <c r="BZ46" s="16"/>
      <c r="CL46" s="8"/>
    </row>
    <row r="47" spans="2:90" ht="12" customHeight="1">
      <c r="B47" s="7" t="s">
        <v>29</v>
      </c>
      <c r="D47" s="7">
        <v>15</v>
      </c>
      <c r="E47" s="26">
        <f>$F$19</f>
        <v>44.37830525598945</v>
      </c>
      <c r="F47" s="38">
        <v>0.8</v>
      </c>
      <c r="G47" s="10">
        <f>E47*F47*$F$7</f>
        <v>30.17724757407283</v>
      </c>
      <c r="H47" s="32">
        <f>$G47-$F$18*F$8</f>
        <v>22.18915262799473</v>
      </c>
      <c r="I47" s="32">
        <f>$G47-$F$18*G$8</f>
        <v>38.16534252015093</v>
      </c>
      <c r="L47" s="43"/>
      <c r="M47" s="51" t="s">
        <v>68</v>
      </c>
      <c r="N47" s="70">
        <f>IF(N50&gt;=1,1,IF(N50&gt;0.5,0.5,IF(N50&gt;0.25,0.25,0)))</f>
        <v>0.25</v>
      </c>
      <c r="O47" s="72">
        <f>VLOOKUP(N47,$V$17:$AE$21,MATCH(O46,$V$16:$AE$16,0),FALSE)</f>
        <v>0.3</v>
      </c>
      <c r="P47" s="70">
        <f>VLOOKUP(N47,$V$17:$AE$21,MATCH(P46,$V$16:$AE$16,0),FALSE)</f>
        <v>0.3</v>
      </c>
      <c r="Q47" s="51" t="s">
        <v>75</v>
      </c>
      <c r="R47" s="63">
        <f>((N48-N50)/(N48-N47))*O47+((N50-N47)/(N48-N47))*O48</f>
        <v>0.29868421052631583</v>
      </c>
      <c r="S47" s="53"/>
      <c r="V47" s="43"/>
      <c r="W47" s="51" t="s">
        <v>69</v>
      </c>
      <c r="X47" s="70">
        <f>IF(X49&gt;=1,100,IF(X49&gt;0.5,1,0.5))</f>
        <v>0.5</v>
      </c>
      <c r="Y47" s="51" t="s">
        <v>71</v>
      </c>
      <c r="Z47" s="70">
        <f>VLOOKUP(X47,$V$35:$W$38,2,FALSE)</f>
        <v>-0.9</v>
      </c>
      <c r="AA47" s="45"/>
      <c r="AC47" s="43"/>
      <c r="AD47" s="51" t="s">
        <v>69</v>
      </c>
      <c r="AE47" s="70">
        <f>IF(AE49&gt;=1,100,IF(AE49&gt;0.5,1,0.5))</f>
        <v>0.5</v>
      </c>
      <c r="AF47" s="51" t="s">
        <v>71</v>
      </c>
      <c r="AG47" s="70">
        <f>VLOOKUP(AE47,$V$35:$W$38,2,FALSE)</f>
        <v>-0.9</v>
      </c>
      <c r="AH47" s="45"/>
      <c r="AI47" s="18"/>
      <c r="BH47" s="19"/>
      <c r="BK47" s="8"/>
      <c r="BM47" s="30"/>
      <c r="BZ47" s="16"/>
      <c r="CL47" s="8"/>
    </row>
    <row r="48" spans="4:90" ht="12" customHeight="1">
      <c r="D48" s="7">
        <v>20</v>
      </c>
      <c r="E48" s="26">
        <f>$F$20</f>
        <v>47.14912148186027</v>
      </c>
      <c r="F48" s="38">
        <v>0.8</v>
      </c>
      <c r="G48" s="10">
        <f aca="true" t="shared" si="6" ref="G48:G59">E48*F48*$F$7</f>
        <v>32.06140260766498</v>
      </c>
      <c r="H48" s="32">
        <f aca="true" t="shared" si="7" ref="H48:H59">$G48-$F$18*F$8</f>
        <v>24.07330766158688</v>
      </c>
      <c r="I48" s="32">
        <f aca="true" t="shared" si="8" ref="I48:I59">$G48-$F$18*G$8</f>
        <v>40.04949755374308</v>
      </c>
      <c r="L48" s="43"/>
      <c r="M48" s="51" t="s">
        <v>69</v>
      </c>
      <c r="N48" s="70">
        <f>IF(N50&gt;=1,100,IF(N50&gt;0.5,1,IF(N50&gt;0.25,0.5,0.25)))</f>
        <v>0.5</v>
      </c>
      <c r="O48" s="72">
        <f>VLOOKUP(N48,$V$17:$AE$21,MATCH(O46,$V$16:$AE$16,0),FALSE)</f>
        <v>0.2</v>
      </c>
      <c r="P48" s="70">
        <f>VLOOKUP(N48,$V$17:$AE$21,MATCH(P46,$V$16:$AE$16,0),FALSE)</f>
        <v>0.2</v>
      </c>
      <c r="Q48" s="51" t="s">
        <v>76</v>
      </c>
      <c r="R48" s="63">
        <f>((N48-N50)/(N48-N47))*P47+((N50-N47)/(N48-N47))*P48</f>
        <v>0.29868421052631583</v>
      </c>
      <c r="S48" s="53"/>
      <c r="V48" s="43"/>
      <c r="W48" s="51"/>
      <c r="X48" s="11"/>
      <c r="Y48" s="51"/>
      <c r="Z48" s="11"/>
      <c r="AA48" s="45"/>
      <c r="AC48" s="43"/>
      <c r="AD48" s="51"/>
      <c r="AE48" s="11"/>
      <c r="AF48" s="51"/>
      <c r="AG48" s="11"/>
      <c r="AH48" s="45"/>
      <c r="AI48" s="18"/>
      <c r="BH48" s="19"/>
      <c r="BK48" s="8"/>
      <c r="BM48" s="30"/>
      <c r="BZ48" s="16"/>
      <c r="CL48" s="8"/>
    </row>
    <row r="49" spans="4:90" ht="12" customHeight="1">
      <c r="D49" s="7">
        <v>25</v>
      </c>
      <c r="E49" s="26">
        <f>$F$21</f>
        <v>49.416924475885025</v>
      </c>
      <c r="F49" s="38">
        <v>0.8</v>
      </c>
      <c r="G49" s="10">
        <f>E49*F49*$F$7</f>
        <v>33.60350864360182</v>
      </c>
      <c r="H49" s="32">
        <f t="shared" si="7"/>
        <v>25.61541369752372</v>
      </c>
      <c r="I49" s="32">
        <f t="shared" si="8"/>
        <v>41.59160358967992</v>
      </c>
      <c r="L49" s="43"/>
      <c r="M49" s="51"/>
      <c r="N49" s="11"/>
      <c r="O49" s="51"/>
      <c r="P49" s="11"/>
      <c r="Q49" s="51"/>
      <c r="R49" s="11"/>
      <c r="S49" s="53"/>
      <c r="V49" s="43"/>
      <c r="W49" s="51" t="s">
        <v>72</v>
      </c>
      <c r="X49" s="58">
        <f>$E$27</f>
        <v>0.2532894736842105</v>
      </c>
      <c r="Y49" s="51" t="s">
        <v>73</v>
      </c>
      <c r="Z49" s="92">
        <f>Z46+(Z47-Z46)*(X49-X46)/(X47-X46)</f>
        <v>-0.9</v>
      </c>
      <c r="AA49" s="47"/>
      <c r="AC49" s="43"/>
      <c r="AD49" s="51" t="s">
        <v>72</v>
      </c>
      <c r="AE49" s="58">
        <f>$E$45</f>
        <v>0.28875</v>
      </c>
      <c r="AF49" s="51" t="s">
        <v>73</v>
      </c>
      <c r="AG49" s="92">
        <f>AG46+(AG47-AG46)*(AE49-AE46)/(AE47-AE46)</f>
        <v>-0.9</v>
      </c>
      <c r="AH49" s="47"/>
      <c r="AI49" s="18"/>
      <c r="BH49" s="19"/>
      <c r="BK49" s="8"/>
      <c r="BM49" s="30"/>
      <c r="BZ49" s="16"/>
      <c r="CL49" s="8"/>
    </row>
    <row r="50" spans="4:90" ht="12" customHeight="1">
      <c r="D50" s="7">
        <v>30</v>
      </c>
      <c r="E50" s="26">
        <f>$F$22</f>
        <v>51.35059132496292</v>
      </c>
      <c r="F50" s="38">
        <v>0.8</v>
      </c>
      <c r="G50" s="10">
        <f>E50*F50*$F$7</f>
        <v>34.91840210097479</v>
      </c>
      <c r="H50" s="32">
        <f t="shared" si="7"/>
        <v>26.93030715489669</v>
      </c>
      <c r="I50" s="32">
        <f t="shared" si="8"/>
        <v>42.90649704705289</v>
      </c>
      <c r="L50" s="43"/>
      <c r="M50" s="51" t="s">
        <v>72</v>
      </c>
      <c r="N50" s="58">
        <f>$E$27</f>
        <v>0.2532894736842105</v>
      </c>
      <c r="O50" s="51" t="s">
        <v>73</v>
      </c>
      <c r="P50" s="58">
        <f>$H$9</f>
        <v>26.56505117707799</v>
      </c>
      <c r="Q50" s="51" t="s">
        <v>77</v>
      </c>
      <c r="R50" s="73">
        <f>((P46-P50)/(P46-O46))*R47+((P50-O46)/(P46-O46))*R48</f>
        <v>0.29868421052631583</v>
      </c>
      <c r="S50" s="53"/>
      <c r="V50" s="48"/>
      <c r="W50" s="49"/>
      <c r="X50" s="49"/>
      <c r="Y50" s="49"/>
      <c r="Z50" s="27"/>
      <c r="AA50" s="50"/>
      <c r="AC50" s="48"/>
      <c r="AD50" s="49"/>
      <c r="AE50" s="49"/>
      <c r="AF50" s="49"/>
      <c r="AG50" s="27"/>
      <c r="AH50" s="50"/>
      <c r="AI50" s="18"/>
      <c r="BH50" s="19"/>
      <c r="BK50" s="8"/>
      <c r="BM50" s="30"/>
      <c r="BZ50" s="16"/>
      <c r="CL50" s="8"/>
    </row>
    <row r="51" spans="2:90" ht="12" customHeight="1">
      <c r="B51" s="7" t="s">
        <v>30</v>
      </c>
      <c r="D51" s="10">
        <f>$C$18</f>
        <v>14.4375</v>
      </c>
      <c r="E51" s="26">
        <f>$F$18</f>
        <v>44.37830525598945</v>
      </c>
      <c r="F51" s="65">
        <f>IF(E44&gt;=4,R14,IF(E44&gt;2,R13,IF(E44&gt;1,R12,R11)))</f>
        <v>-0.5</v>
      </c>
      <c r="G51" s="10">
        <f t="shared" si="6"/>
        <v>-18.860779733795518</v>
      </c>
      <c r="H51" s="32">
        <f t="shared" si="7"/>
        <v>-26.848874679873617</v>
      </c>
      <c r="I51" s="32">
        <f t="shared" si="8"/>
        <v>-10.872684787717416</v>
      </c>
      <c r="L51" s="48"/>
      <c r="M51" s="49"/>
      <c r="N51" s="49"/>
      <c r="O51" s="49"/>
      <c r="P51" s="27"/>
      <c r="Q51" s="56"/>
      <c r="R51" s="49"/>
      <c r="S51" s="54"/>
      <c r="AI51" s="18"/>
      <c r="BH51" s="19"/>
      <c r="BK51" s="8"/>
      <c r="BM51" s="30"/>
      <c r="BZ51" s="16"/>
      <c r="CL51" s="8"/>
    </row>
    <row r="52" spans="2:90" ht="12" customHeight="1">
      <c r="B52" s="7" t="s">
        <v>38</v>
      </c>
      <c r="D52" s="10">
        <f>$C$18</f>
        <v>14.4375</v>
      </c>
      <c r="E52" s="26">
        <f aca="true" t="shared" si="9" ref="E52:E59">$F$18</f>
        <v>44.37830525598945</v>
      </c>
      <c r="F52" s="38">
        <v>-0.7</v>
      </c>
      <c r="G52" s="10">
        <f t="shared" si="6"/>
        <v>-26.40509162731372</v>
      </c>
      <c r="H52" s="32">
        <f t="shared" si="7"/>
        <v>-34.39318657339182</v>
      </c>
      <c r="I52" s="32">
        <f t="shared" si="8"/>
        <v>-18.416996681235617</v>
      </c>
      <c r="P52" s="9"/>
      <c r="Q52" s="31"/>
      <c r="V52" s="89" t="s">
        <v>105</v>
      </c>
      <c r="W52" s="90"/>
      <c r="X52" s="90"/>
      <c r="Y52" s="90"/>
      <c r="Z52" s="90"/>
      <c r="AA52" s="91"/>
      <c r="AC52" s="89" t="s">
        <v>107</v>
      </c>
      <c r="AD52" s="90"/>
      <c r="AE52" s="90"/>
      <c r="AF52" s="90"/>
      <c r="AG52" s="90"/>
      <c r="AH52" s="91"/>
      <c r="AI52" s="18"/>
      <c r="BH52" s="19"/>
      <c r="BK52" s="8"/>
      <c r="BM52" s="30"/>
      <c r="BZ52" s="16"/>
      <c r="CL52" s="8"/>
    </row>
    <row r="53" spans="2:90" ht="12" customHeight="1">
      <c r="B53" s="7" t="s">
        <v>48</v>
      </c>
      <c r="D53" s="10">
        <f>$C$18</f>
        <v>14.4375</v>
      </c>
      <c r="E53" s="26">
        <f t="shared" si="9"/>
        <v>44.37830525598945</v>
      </c>
      <c r="F53" s="65">
        <f>R69</f>
        <v>0.28450000000000003</v>
      </c>
      <c r="G53" s="10">
        <f t="shared" si="6"/>
        <v>10.731783668529651</v>
      </c>
      <c r="H53" s="32">
        <f t="shared" si="7"/>
        <v>2.74368872245155</v>
      </c>
      <c r="I53" s="32">
        <f t="shared" si="8"/>
        <v>18.71987861460775</v>
      </c>
      <c r="L53" s="67" t="s">
        <v>95</v>
      </c>
      <c r="M53" s="68"/>
      <c r="N53" s="68"/>
      <c r="O53" s="68"/>
      <c r="P53" s="69" t="s">
        <v>89</v>
      </c>
      <c r="Q53" s="68"/>
      <c r="R53" s="68"/>
      <c r="S53" s="66"/>
      <c r="V53" s="43"/>
      <c r="W53" s="11"/>
      <c r="X53" s="11"/>
      <c r="Y53" s="11"/>
      <c r="Z53" s="11"/>
      <c r="AA53" s="45"/>
      <c r="AC53" s="43"/>
      <c r="AD53" s="11"/>
      <c r="AE53" s="11"/>
      <c r="AF53" s="11"/>
      <c r="AG53" s="11"/>
      <c r="AH53" s="45"/>
      <c r="AI53" s="18"/>
      <c r="BH53" s="19"/>
      <c r="BK53" s="8"/>
      <c r="BM53" s="30"/>
      <c r="BZ53" s="16"/>
      <c r="CL53" s="8"/>
    </row>
    <row r="54" spans="2:90" ht="12" customHeight="1">
      <c r="B54" s="7" t="s">
        <v>49</v>
      </c>
      <c r="D54" s="10">
        <f>$C$18</f>
        <v>14.4375</v>
      </c>
      <c r="E54" s="26">
        <f t="shared" si="9"/>
        <v>44.37830525598945</v>
      </c>
      <c r="F54" s="65">
        <f>R78</f>
        <v>-0.21064834135105825</v>
      </c>
      <c r="G54" s="10">
        <f t="shared" si="6"/>
        <v>-7.94598393502336</v>
      </c>
      <c r="H54" s="32">
        <f t="shared" si="7"/>
        <v>-15.934078881101462</v>
      </c>
      <c r="I54" s="32">
        <f t="shared" si="8"/>
        <v>0.042111011054741354</v>
      </c>
      <c r="L54" s="43"/>
      <c r="M54" s="11"/>
      <c r="N54" s="11" t="s">
        <v>80</v>
      </c>
      <c r="O54" s="11" t="s">
        <v>70</v>
      </c>
      <c r="P54" s="11" t="s">
        <v>71</v>
      </c>
      <c r="Q54" s="25"/>
      <c r="R54" s="11"/>
      <c r="S54" s="53"/>
      <c r="V54" s="43"/>
      <c r="W54" s="51" t="s">
        <v>68</v>
      </c>
      <c r="X54" s="70">
        <f>IF(X57&gt;=1,1,IF(X57&gt;0.5,0.5,0))</f>
        <v>0</v>
      </c>
      <c r="Y54" s="51" t="s">
        <v>70</v>
      </c>
      <c r="Z54" s="70">
        <f>VLOOKUP(X54,$Y$35:$Z$38,2,FALSE)</f>
        <v>-0.9</v>
      </c>
      <c r="AA54" s="45"/>
      <c r="AC54" s="43"/>
      <c r="AD54" s="51" t="s">
        <v>68</v>
      </c>
      <c r="AE54" s="70">
        <f>IF(AE57&gt;=1,1,IF(AE57&gt;0.5,0.5,0))</f>
        <v>0</v>
      </c>
      <c r="AF54" s="51" t="s">
        <v>70</v>
      </c>
      <c r="AG54" s="70">
        <f>VLOOKUP(AE54,$Y$35:$Z$38,2,FALSE)</f>
        <v>-0.9</v>
      </c>
      <c r="AH54" s="45"/>
      <c r="AI54" s="18"/>
      <c r="BH54" s="19"/>
      <c r="BK54" s="8"/>
      <c r="BM54" s="30"/>
      <c r="BZ54" s="16"/>
      <c r="CL54" s="8"/>
    </row>
    <row r="55" spans="2:90" ht="12" customHeight="1">
      <c r="B55" s="7" t="s">
        <v>39</v>
      </c>
      <c r="D55" s="10">
        <f>$C$18</f>
        <v>14.4375</v>
      </c>
      <c r="E55" s="26">
        <f t="shared" si="9"/>
        <v>44.37830525598945</v>
      </c>
      <c r="F55" s="65">
        <f>R40</f>
        <v>-0.6</v>
      </c>
      <c r="G55" s="10">
        <f t="shared" si="6"/>
        <v>-22.63293568055462</v>
      </c>
      <c r="H55" s="32">
        <f t="shared" si="7"/>
        <v>-30.621030626632724</v>
      </c>
      <c r="I55" s="32">
        <f t="shared" si="8"/>
        <v>-14.644840734476519</v>
      </c>
      <c r="L55" s="43"/>
      <c r="M55" s="51" t="s">
        <v>79</v>
      </c>
      <c r="N55" s="11"/>
      <c r="O55" s="70">
        <f>IF($H$9&gt;=45,45,IF($H$9&gt;35,35,IF($H$9&gt;30,30,IF($H$9&gt;25,25,IF($H$9&gt;20,20,IF($H$9&gt;15,15,IF($H$9&gt;10,10,0)))))))</f>
        <v>25</v>
      </c>
      <c r="P55" s="70">
        <f>IF($H$9&gt;=45,60,IF($H$9&gt;35,45,IF($H$9&gt;30,35,IF($H$9&gt;25,30,IF($H$9&gt;20,25,IF($H$9&gt;15,20,IF($H$9&gt;10,15,10)))))))</f>
        <v>30</v>
      </c>
      <c r="Q55" s="29"/>
      <c r="R55" s="11"/>
      <c r="S55" s="53"/>
      <c r="V55" s="43"/>
      <c r="W55" s="51" t="s">
        <v>69</v>
      </c>
      <c r="X55" s="70">
        <f>IF(X57&gt;=1,100,IF(X57&gt;0.5,1,0.5))</f>
        <v>0.5</v>
      </c>
      <c r="Y55" s="51" t="s">
        <v>71</v>
      </c>
      <c r="Z55" s="70">
        <f>VLOOKUP(X55,$Y$35:$Z$38,2,FALSE)</f>
        <v>-0.9</v>
      </c>
      <c r="AA55" s="45"/>
      <c r="AC55" s="43"/>
      <c r="AD55" s="51" t="s">
        <v>69</v>
      </c>
      <c r="AE55" s="70">
        <f>IF(AE57&gt;=1,100,IF(AE57&gt;0.5,1,0.5))</f>
        <v>0.5</v>
      </c>
      <c r="AF55" s="51" t="s">
        <v>71</v>
      </c>
      <c r="AG55" s="70">
        <f>VLOOKUP(AE55,$Y$35:$Z$38,2,FALSE)</f>
        <v>-0.9</v>
      </c>
      <c r="AH55" s="45"/>
      <c r="AI55" s="18"/>
      <c r="BH55" s="19"/>
      <c r="BK55" s="8"/>
      <c r="BM55" s="30"/>
      <c r="BZ55" s="16"/>
      <c r="CL55" s="8"/>
    </row>
    <row r="56" spans="2:90" ht="12" customHeight="1">
      <c r="B56" s="7" t="s">
        <v>40</v>
      </c>
      <c r="D56" s="7" t="s">
        <v>41</v>
      </c>
      <c r="E56" s="26">
        <f t="shared" si="9"/>
        <v>44.37830525598945</v>
      </c>
      <c r="F56" s="65">
        <f>AG49</f>
        <v>-0.9</v>
      </c>
      <c r="G56" s="10">
        <f t="shared" si="6"/>
        <v>-33.94940352083193</v>
      </c>
      <c r="H56" s="32">
        <f t="shared" si="7"/>
        <v>-41.93749846691003</v>
      </c>
      <c r="I56" s="32">
        <f t="shared" si="8"/>
        <v>-25.96130857475383</v>
      </c>
      <c r="L56" s="43"/>
      <c r="M56" s="51" t="s">
        <v>68</v>
      </c>
      <c r="N56" s="70">
        <f>IF(N59&gt;=1,1,IF(N59&gt;0.5,0.5,IF(N59&gt;0.25,0.25,0)))</f>
        <v>0.25</v>
      </c>
      <c r="O56" s="72">
        <f>VLOOKUP(N56,$V$26:$AE$30,MATCH(O55,$V$25:$AE$25,0),FALSE)</f>
        <v>-0.2</v>
      </c>
      <c r="P56" s="70">
        <f>VLOOKUP(N56,$V$26:$AE$30,MATCH(P55,$V$25:$AE$25,0),FALSE)</f>
        <v>-0.2</v>
      </c>
      <c r="Q56" s="51" t="s">
        <v>75</v>
      </c>
      <c r="R56" s="63">
        <f>((N57-N59)/(N57-N56))*O56+((N59-N56)/(N57-N56))*O57</f>
        <v>-0.20131578947368423</v>
      </c>
      <c r="S56" s="53"/>
      <c r="V56" s="43"/>
      <c r="W56" s="51"/>
      <c r="X56" s="11"/>
      <c r="Y56" s="51"/>
      <c r="Z56" s="11"/>
      <c r="AA56" s="45"/>
      <c r="AC56" s="43"/>
      <c r="AD56" s="51"/>
      <c r="AE56" s="11"/>
      <c r="AF56" s="51"/>
      <c r="AG56" s="11"/>
      <c r="AH56" s="45"/>
      <c r="AI56" s="18"/>
      <c r="BH56" s="19"/>
      <c r="BK56" s="8"/>
      <c r="BM56" s="30"/>
      <c r="BZ56" s="16"/>
      <c r="CL56" s="8"/>
    </row>
    <row r="57" spans="4:90" ht="12" customHeight="1">
      <c r="D57" s="7" t="s">
        <v>42</v>
      </c>
      <c r="E57" s="26">
        <f t="shared" si="9"/>
        <v>44.37830525598945</v>
      </c>
      <c r="F57" s="65">
        <f>AG57</f>
        <v>-0.9</v>
      </c>
      <c r="G57" s="10">
        <f t="shared" si="6"/>
        <v>-33.94940352083193</v>
      </c>
      <c r="H57" s="32">
        <f t="shared" si="7"/>
        <v>-41.93749846691003</v>
      </c>
      <c r="I57" s="32">
        <f t="shared" si="8"/>
        <v>-25.96130857475383</v>
      </c>
      <c r="L57" s="43"/>
      <c r="M57" s="51" t="s">
        <v>69</v>
      </c>
      <c r="N57" s="70">
        <f>IF(N59&gt;=1,100,IF(N59&gt;0.5,1,IF(N59&gt;0.25,0.5,0.25)))</f>
        <v>0.5</v>
      </c>
      <c r="O57" s="72">
        <f>VLOOKUP(N57,$V$26:$AE$30,MATCH(O55,$V$25:$AE$25,0),FALSE)</f>
        <v>-0.3</v>
      </c>
      <c r="P57" s="70">
        <f>VLOOKUP(N57,$V$26:$AE$30,MATCH(P55,$V$25:$AE$25,0),FALSE)</f>
        <v>-0.2</v>
      </c>
      <c r="Q57" s="51" t="s">
        <v>76</v>
      </c>
      <c r="R57" s="63">
        <f>((N57-N59)/(N57-N56))*P56+((N59-N56)/(N57-N56))*P57</f>
        <v>-0.2</v>
      </c>
      <c r="S57" s="53"/>
      <c r="V57" s="43"/>
      <c r="W57" s="51" t="s">
        <v>72</v>
      </c>
      <c r="X57" s="58">
        <f>$E$27</f>
        <v>0.2532894736842105</v>
      </c>
      <c r="Y57" s="51" t="s">
        <v>73</v>
      </c>
      <c r="Z57" s="92">
        <f>Z54+(Z55-Z54)*(X57-X54)/(X55-X54)</f>
        <v>-0.9</v>
      </c>
      <c r="AA57" s="47"/>
      <c r="AC57" s="43"/>
      <c r="AD57" s="51" t="s">
        <v>72</v>
      </c>
      <c r="AE57" s="58">
        <f>$E$45</f>
        <v>0.28875</v>
      </c>
      <c r="AF57" s="51" t="s">
        <v>73</v>
      </c>
      <c r="AG57" s="92">
        <f>AG54+(AG55-AG54)*(AE57-AE54)/(AE55-AE54)</f>
        <v>-0.9</v>
      </c>
      <c r="AH57" s="47"/>
      <c r="AI57" s="18"/>
      <c r="BH57" s="19"/>
      <c r="BK57" s="8"/>
      <c r="BM57" s="30"/>
      <c r="BZ57" s="16"/>
      <c r="CL57" s="8"/>
    </row>
    <row r="58" spans="4:90" ht="12" customHeight="1">
      <c r="D58" s="7" t="s">
        <v>43</v>
      </c>
      <c r="E58" s="26">
        <f t="shared" si="9"/>
        <v>44.37830525598945</v>
      </c>
      <c r="F58" s="65">
        <f>AG66</f>
        <v>-0.5</v>
      </c>
      <c r="G58" s="10">
        <f t="shared" si="6"/>
        <v>-18.860779733795518</v>
      </c>
      <c r="H58" s="32">
        <f t="shared" si="7"/>
        <v>-26.848874679873617</v>
      </c>
      <c r="I58" s="32">
        <f t="shared" si="8"/>
        <v>-10.872684787717416</v>
      </c>
      <c r="L58" s="43"/>
      <c r="M58" s="51"/>
      <c r="N58" s="11"/>
      <c r="O58" s="51"/>
      <c r="P58" s="11"/>
      <c r="Q58" s="51"/>
      <c r="R58" s="11"/>
      <c r="S58" s="53"/>
      <c r="V58" s="48"/>
      <c r="W58" s="49"/>
      <c r="X58" s="49"/>
      <c r="Y58" s="49"/>
      <c r="Z58" s="27"/>
      <c r="AA58" s="50"/>
      <c r="AC58" s="48"/>
      <c r="AD58" s="49"/>
      <c r="AE58" s="49"/>
      <c r="AF58" s="49"/>
      <c r="AG58" s="27"/>
      <c r="AH58" s="50"/>
      <c r="AI58" s="18"/>
      <c r="BH58" s="19"/>
      <c r="BK58" s="8"/>
      <c r="BM58" s="30"/>
      <c r="BZ58" s="16"/>
      <c r="CL58" s="8"/>
    </row>
    <row r="59" spans="4:55" ht="12" customHeight="1">
      <c r="D59" s="7" t="s">
        <v>44</v>
      </c>
      <c r="E59" s="26">
        <f t="shared" si="9"/>
        <v>44.37830525598945</v>
      </c>
      <c r="F59" s="65">
        <f>AG74</f>
        <v>-0.3</v>
      </c>
      <c r="G59" s="10">
        <f t="shared" si="6"/>
        <v>-11.31646784027731</v>
      </c>
      <c r="H59" s="32">
        <f t="shared" si="7"/>
        <v>-19.30456278635541</v>
      </c>
      <c r="I59" s="32">
        <f t="shared" si="8"/>
        <v>-3.328372894199209</v>
      </c>
      <c r="L59" s="43"/>
      <c r="M59" s="51" t="s">
        <v>72</v>
      </c>
      <c r="N59" s="58">
        <f>$E$27</f>
        <v>0.2532894736842105</v>
      </c>
      <c r="O59" s="51" t="s">
        <v>73</v>
      </c>
      <c r="P59" s="58">
        <f>$H$9</f>
        <v>26.56505117707799</v>
      </c>
      <c r="Q59" s="51" t="s">
        <v>77</v>
      </c>
      <c r="R59" s="73">
        <f>((P55-P59)/(P55-O55))*R56+((P59-O55)/(P55-O55))*R57</f>
        <v>-0.20090393390076894</v>
      </c>
      <c r="S59" s="53"/>
      <c r="AI59" s="18"/>
      <c r="BA59" s="15"/>
      <c r="BB59" s="15"/>
      <c r="BC59" s="15"/>
    </row>
    <row r="60" spans="12:54" ht="6" customHeight="1">
      <c r="L60" s="48"/>
      <c r="M60" s="49"/>
      <c r="N60" s="49"/>
      <c r="O60" s="49"/>
      <c r="P60" s="27"/>
      <c r="Q60" s="56"/>
      <c r="R60" s="49"/>
      <c r="S60" s="54"/>
      <c r="AZ60" s="15"/>
      <c r="BA60" s="15"/>
      <c r="BB60" s="15"/>
    </row>
    <row r="61" spans="2:54" ht="12" customHeight="1">
      <c r="B61" s="7" t="s">
        <v>50</v>
      </c>
      <c r="D61" s="27" t="s">
        <v>35</v>
      </c>
      <c r="E61" s="28" t="s">
        <v>60</v>
      </c>
      <c r="F61" s="28" t="s">
        <v>36</v>
      </c>
      <c r="G61" s="28" t="s">
        <v>56</v>
      </c>
      <c r="I61" s="33" t="s">
        <v>59</v>
      </c>
      <c r="P61" s="24"/>
      <c r="V61" s="89" t="s">
        <v>108</v>
      </c>
      <c r="W61" s="90"/>
      <c r="X61" s="90"/>
      <c r="Y61" s="90"/>
      <c r="Z61" s="90"/>
      <c r="AA61" s="91"/>
      <c r="AC61" s="89" t="s">
        <v>110</v>
      </c>
      <c r="AD61" s="90"/>
      <c r="AE61" s="90"/>
      <c r="AF61" s="90"/>
      <c r="AG61" s="90"/>
      <c r="AH61" s="91"/>
      <c r="AZ61" s="15"/>
      <c r="BA61" s="15"/>
      <c r="BB61" s="15"/>
    </row>
    <row r="62" spans="2:54" ht="12" customHeight="1">
      <c r="B62" s="7" t="s">
        <v>62</v>
      </c>
      <c r="D62" s="34">
        <f>F10</f>
        <v>11</v>
      </c>
      <c r="E62" s="26">
        <f>F17</f>
        <v>44.37830525598945</v>
      </c>
      <c r="F62" s="10">
        <v>0.8</v>
      </c>
      <c r="G62" s="3">
        <f>E62*F62*$F$7</f>
        <v>30.17724757407283</v>
      </c>
      <c r="P62" s="24"/>
      <c r="V62" s="43"/>
      <c r="W62" s="11"/>
      <c r="X62" s="11"/>
      <c r="Y62" s="11"/>
      <c r="Z62" s="11"/>
      <c r="AA62" s="45"/>
      <c r="AC62" s="43"/>
      <c r="AD62" s="11"/>
      <c r="AE62" s="11"/>
      <c r="AF62" s="11"/>
      <c r="AG62" s="11"/>
      <c r="AH62" s="45"/>
      <c r="AZ62" s="15"/>
      <c r="BA62" s="15"/>
      <c r="BB62" s="15"/>
    </row>
    <row r="63" spans="2:54" ht="12" customHeight="1">
      <c r="B63" s="94" t="s">
        <v>117</v>
      </c>
      <c r="I63" s="93" t="s">
        <v>115</v>
      </c>
      <c r="L63" s="67" t="s">
        <v>96</v>
      </c>
      <c r="M63" s="68"/>
      <c r="N63" s="68"/>
      <c r="O63" s="68"/>
      <c r="P63" s="69" t="s">
        <v>89</v>
      </c>
      <c r="Q63" s="68"/>
      <c r="R63" s="68"/>
      <c r="S63" s="66"/>
      <c r="V63" s="43"/>
      <c r="W63" s="51" t="s">
        <v>68</v>
      </c>
      <c r="X63" s="70">
        <f>IF(X66&gt;=1,1,IF(X66&gt;0.5,0.5,0))</f>
        <v>0</v>
      </c>
      <c r="Y63" s="51" t="s">
        <v>70</v>
      </c>
      <c r="Z63" s="70">
        <f>VLOOKUP(X63,$AB$35:$AC$38,2,FALSE)</f>
        <v>-0.5</v>
      </c>
      <c r="AA63" s="45"/>
      <c r="AC63" s="43"/>
      <c r="AD63" s="51" t="s">
        <v>68</v>
      </c>
      <c r="AE63" s="70">
        <f>IF(AE66&gt;=1,1,IF(AE66&gt;0.5,0.5,0))</f>
        <v>0</v>
      </c>
      <c r="AF63" s="51" t="s">
        <v>70</v>
      </c>
      <c r="AG63" s="70">
        <f>VLOOKUP(AE63,$AB$35:$AC$38,2,FALSE)</f>
        <v>-0.5</v>
      </c>
      <c r="AH63" s="45"/>
      <c r="AZ63" s="15"/>
      <c r="BA63" s="15"/>
      <c r="BB63" s="15"/>
    </row>
    <row r="64" spans="1:89" s="8" customFormat="1" ht="12" customHeight="1">
      <c r="A64" s="7"/>
      <c r="B64" s="7"/>
      <c r="C64" s="7"/>
      <c r="D64" s="7"/>
      <c r="E64" s="9"/>
      <c r="F64" s="10"/>
      <c r="G64" s="11"/>
      <c r="H64" s="7"/>
      <c r="J64" s="7"/>
      <c r="K64" s="7"/>
      <c r="L64" s="43"/>
      <c r="M64" s="11"/>
      <c r="N64" s="11" t="s">
        <v>80</v>
      </c>
      <c r="O64" s="11" t="s">
        <v>70</v>
      </c>
      <c r="P64" s="11" t="s">
        <v>71</v>
      </c>
      <c r="Q64" s="25"/>
      <c r="R64" s="11"/>
      <c r="S64" s="53"/>
      <c r="V64" s="43"/>
      <c r="W64" s="51" t="s">
        <v>69</v>
      </c>
      <c r="X64" s="70">
        <f>IF(X66&gt;=1,100,IF(X66&gt;0.5,1,0.5))</f>
        <v>0.5</v>
      </c>
      <c r="Y64" s="51" t="s">
        <v>71</v>
      </c>
      <c r="Z64" s="70">
        <f>VLOOKUP(X64,$AB$35:$AC$38,2,FALSE)</f>
        <v>-0.5</v>
      </c>
      <c r="AA64" s="45"/>
      <c r="AB64" s="11"/>
      <c r="AC64" s="43"/>
      <c r="AD64" s="51" t="s">
        <v>69</v>
      </c>
      <c r="AE64" s="70">
        <f>IF(AE66&gt;=1,100,IF(AE66&gt;0.5,1,0.5))</f>
        <v>0.5</v>
      </c>
      <c r="AF64" s="51" t="s">
        <v>71</v>
      </c>
      <c r="AG64" s="70">
        <f>VLOOKUP(AE64,$AB$35:$AC$38,2,FALSE)</f>
        <v>-0.5</v>
      </c>
      <c r="AH64" s="45"/>
      <c r="AI64" s="7"/>
      <c r="AK64" s="7"/>
      <c r="AL64" s="7"/>
      <c r="AM64" s="15"/>
      <c r="AN64" s="15"/>
      <c r="AO64" s="15"/>
      <c r="AP64" s="15"/>
      <c r="AQ64" s="15"/>
      <c r="AR64" s="13"/>
      <c r="AS64" s="15"/>
      <c r="AZ64" s="15"/>
      <c r="BA64" s="15"/>
      <c r="BB64" s="7"/>
      <c r="BC64" s="7"/>
      <c r="BD64" s="7"/>
      <c r="BE64" s="7"/>
      <c r="BF64" s="7"/>
      <c r="BG64" s="7"/>
      <c r="BH64" s="7"/>
      <c r="BI64" s="7"/>
      <c r="BJ64" s="7"/>
      <c r="CD64" s="7"/>
      <c r="CE64" s="7"/>
      <c r="CF64" s="7"/>
      <c r="CG64" s="7"/>
      <c r="CH64" s="7"/>
      <c r="CI64" s="7"/>
      <c r="CJ64" s="7"/>
      <c r="CK64" s="7"/>
    </row>
    <row r="65" spans="1:89" s="8" customFormat="1" ht="12" customHeight="1">
      <c r="A65" s="7"/>
      <c r="B65" s="7"/>
      <c r="C65" s="7"/>
      <c r="D65" s="7"/>
      <c r="E65" s="9"/>
      <c r="F65" s="10"/>
      <c r="G65" s="11"/>
      <c r="H65" s="7"/>
      <c r="J65" s="7"/>
      <c r="K65" s="7"/>
      <c r="L65" s="43"/>
      <c r="M65" s="51" t="s">
        <v>79</v>
      </c>
      <c r="N65" s="11"/>
      <c r="O65" s="70">
        <f>IF($H$9&gt;=45,45,IF($H$9&gt;35,35,IF($H$9&gt;30,30,IF($H$9&gt;25,25,IF($H$9&gt;20,20,IF($H$9&gt;15,15,IF($H$9&gt;10,10,0)))))))</f>
        <v>25</v>
      </c>
      <c r="P65" s="70">
        <f>IF($H$9&gt;=45,60,IF($H$9&gt;35,45,IF($H$9&gt;30,35,IF($H$9&gt;25,30,IF($H$9&gt;20,25,IF($H$9&gt;15,20,IF($H$9&gt;10,15,10)))))))</f>
        <v>30</v>
      </c>
      <c r="Q65" s="29"/>
      <c r="R65" s="11"/>
      <c r="S65" s="53"/>
      <c r="V65" s="43"/>
      <c r="W65" s="51"/>
      <c r="X65" s="11"/>
      <c r="Y65" s="51"/>
      <c r="Z65" s="11"/>
      <c r="AA65" s="45"/>
      <c r="AB65" s="11"/>
      <c r="AC65" s="43"/>
      <c r="AD65" s="51"/>
      <c r="AE65" s="11"/>
      <c r="AF65" s="51"/>
      <c r="AG65" s="11"/>
      <c r="AH65" s="45"/>
      <c r="AI65" s="7"/>
      <c r="AK65" s="7"/>
      <c r="AL65" s="7"/>
      <c r="AM65" s="15"/>
      <c r="AN65" s="15"/>
      <c r="AO65" s="15"/>
      <c r="AP65" s="15"/>
      <c r="AQ65" s="15"/>
      <c r="AR65" s="13"/>
      <c r="AS65" s="15"/>
      <c r="AZ65" s="15"/>
      <c r="BA65" s="15"/>
      <c r="BB65" s="7"/>
      <c r="BC65" s="7"/>
      <c r="BD65" s="7"/>
      <c r="BE65" s="7"/>
      <c r="BF65" s="7"/>
      <c r="BG65" s="7"/>
      <c r="BH65" s="7"/>
      <c r="BI65" s="7"/>
      <c r="BJ65" s="7"/>
      <c r="CD65" s="7"/>
      <c r="CE65" s="7"/>
      <c r="CF65" s="7"/>
      <c r="CG65" s="7"/>
      <c r="CH65" s="7"/>
      <c r="CI65" s="7"/>
      <c r="CJ65" s="7"/>
      <c r="CK65" s="7"/>
    </row>
    <row r="66" spans="12:53" ht="12" customHeight="1">
      <c r="L66" s="43"/>
      <c r="M66" s="51" t="s">
        <v>68</v>
      </c>
      <c r="N66" s="70">
        <f>IF(N69&gt;=1,1,IF(N69&gt;0.5,0.5,IF(N69&gt;0.25,0.25,0)))</f>
        <v>0.25</v>
      </c>
      <c r="O66" s="72">
        <f>VLOOKUP(N66,$V$17:$AE$21,MATCH(O65,$V$16:$AE$16,0),FALSE)</f>
        <v>0.3</v>
      </c>
      <c r="P66" s="70">
        <f>VLOOKUP(N66,$V$17:$AE$21,MATCH(P65,$V$16:$AE$16,0),FALSE)</f>
        <v>0.3</v>
      </c>
      <c r="Q66" s="51" t="s">
        <v>75</v>
      </c>
      <c r="R66" s="63">
        <f>((N67-N69)/(N67-N66))*O66+((N69-N66)/(N67-N66))*O67</f>
        <v>0.28450000000000003</v>
      </c>
      <c r="S66" s="53"/>
      <c r="V66" s="43"/>
      <c r="W66" s="51" t="s">
        <v>72</v>
      </c>
      <c r="X66" s="58">
        <f>$E$27</f>
        <v>0.2532894736842105</v>
      </c>
      <c r="Y66" s="51" t="s">
        <v>73</v>
      </c>
      <c r="Z66" s="92">
        <f>Z63+(Z64-Z63)*(X66-X63)/(X64-X63)</f>
        <v>-0.5</v>
      </c>
      <c r="AA66" s="47"/>
      <c r="AB66" s="11"/>
      <c r="AC66" s="43"/>
      <c r="AD66" s="51" t="s">
        <v>72</v>
      </c>
      <c r="AE66" s="58">
        <f>$E$45</f>
        <v>0.28875</v>
      </c>
      <c r="AF66" s="51" t="s">
        <v>73</v>
      </c>
      <c r="AG66" s="92">
        <f>AG63+(AG64-AG63)*(AE66-AE63)/(AE64-AE63)</f>
        <v>-0.5</v>
      </c>
      <c r="AH66" s="47"/>
      <c r="AI66" s="8"/>
      <c r="AM66" s="15"/>
      <c r="AN66" s="15"/>
      <c r="AO66" s="15"/>
      <c r="AP66" s="15"/>
      <c r="AQ66" s="15"/>
      <c r="AR66" s="15"/>
      <c r="AS66" s="15"/>
      <c r="AZ66" s="15"/>
      <c r="BA66" s="15"/>
    </row>
    <row r="67" spans="1:77" ht="12" customHeight="1">
      <c r="A67" s="8"/>
      <c r="L67" s="43"/>
      <c r="M67" s="51" t="s">
        <v>69</v>
      </c>
      <c r="N67" s="70">
        <f>IF(N69&gt;=1,100,IF(N69&gt;0.5,1,IF(N69&gt;0.25,0.5,0.25)))</f>
        <v>0.5</v>
      </c>
      <c r="O67" s="72">
        <f>VLOOKUP(N67,$V$17:$AE$21,MATCH(O65,$V$16:$AE$16,0),FALSE)</f>
        <v>0.2</v>
      </c>
      <c r="P67" s="70">
        <f>VLOOKUP(N67,$V$17:$AE$21,MATCH(P65,$V$16:$AE$16,0),FALSE)</f>
        <v>0.2</v>
      </c>
      <c r="Q67" s="51" t="s">
        <v>76</v>
      </c>
      <c r="R67" s="63">
        <f>((N67-N69)/(N67-N66))*P66+((N69-N66)/(N67-N66))*P67</f>
        <v>0.28450000000000003</v>
      </c>
      <c r="S67" s="53"/>
      <c r="V67" s="48"/>
      <c r="W67" s="49"/>
      <c r="X67" s="49"/>
      <c r="Y67" s="49"/>
      <c r="Z67" s="27"/>
      <c r="AA67" s="50"/>
      <c r="AB67" s="11"/>
      <c r="AC67" s="48"/>
      <c r="AD67" s="49"/>
      <c r="AE67" s="49"/>
      <c r="AF67" s="49"/>
      <c r="AG67" s="27"/>
      <c r="AH67" s="50"/>
      <c r="AM67" s="15"/>
      <c r="AN67" s="15"/>
      <c r="AO67" s="15"/>
      <c r="AP67" s="15"/>
      <c r="AQ67" s="15"/>
      <c r="AR67" s="15"/>
      <c r="AS67" s="15"/>
      <c r="AZ67" s="15"/>
      <c r="BA67" s="15"/>
      <c r="BY67" s="16"/>
    </row>
    <row r="68" spans="12:86" ht="12" customHeight="1">
      <c r="L68" s="43"/>
      <c r="M68" s="51"/>
      <c r="N68" s="11"/>
      <c r="O68" s="51"/>
      <c r="P68" s="11"/>
      <c r="Q68" s="51"/>
      <c r="R68" s="11"/>
      <c r="S68" s="53"/>
      <c r="AB68" s="11"/>
      <c r="AM68" s="11"/>
      <c r="AN68" s="11"/>
      <c r="AP68" s="18"/>
      <c r="AQ68" s="15"/>
      <c r="AZ68" s="15"/>
      <c r="BA68" s="15"/>
      <c r="BG68" s="15"/>
      <c r="CH68" s="15"/>
    </row>
    <row r="69" spans="12:53" ht="12" customHeight="1">
      <c r="L69" s="43"/>
      <c r="M69" s="51" t="s">
        <v>72</v>
      </c>
      <c r="N69" s="58">
        <f>$E$45</f>
        <v>0.28875</v>
      </c>
      <c r="O69" s="51" t="s">
        <v>73</v>
      </c>
      <c r="P69" s="58">
        <f>$H$9</f>
        <v>26.56505117707799</v>
      </c>
      <c r="Q69" s="51" t="s">
        <v>77</v>
      </c>
      <c r="R69" s="73">
        <f>((P65-P69)/(P65-O65))*R66+((P69-O65)/(P65-O65))*R67</f>
        <v>0.28450000000000003</v>
      </c>
      <c r="S69" s="53"/>
      <c r="V69" s="89" t="s">
        <v>109</v>
      </c>
      <c r="W69" s="90"/>
      <c r="X69" s="90"/>
      <c r="Y69" s="90"/>
      <c r="Z69" s="90"/>
      <c r="AA69" s="91"/>
      <c r="AC69" s="89" t="s">
        <v>111</v>
      </c>
      <c r="AD69" s="90"/>
      <c r="AE69" s="90"/>
      <c r="AF69" s="90"/>
      <c r="AG69" s="90"/>
      <c r="AH69" s="91"/>
      <c r="AZ69" s="15"/>
      <c r="BA69" s="15"/>
    </row>
    <row r="70" spans="12:53" ht="12" customHeight="1">
      <c r="L70" s="48"/>
      <c r="M70" s="49"/>
      <c r="N70" s="49"/>
      <c r="O70" s="49"/>
      <c r="P70" s="27"/>
      <c r="Q70" s="56"/>
      <c r="R70" s="49"/>
      <c r="S70" s="54"/>
      <c r="V70" s="43"/>
      <c r="W70" s="11"/>
      <c r="X70" s="11"/>
      <c r="Y70" s="11"/>
      <c r="Z70" s="11"/>
      <c r="AA70" s="45"/>
      <c r="AC70" s="43"/>
      <c r="AD70" s="11"/>
      <c r="AE70" s="11"/>
      <c r="AF70" s="11"/>
      <c r="AG70" s="11"/>
      <c r="AH70" s="45"/>
      <c r="AL70" s="15"/>
      <c r="AP70" s="18"/>
      <c r="AQ70" s="15"/>
      <c r="AZ70" s="15"/>
      <c r="BA70" s="15"/>
    </row>
    <row r="71" spans="16:43" ht="11.25">
      <c r="P71" s="9"/>
      <c r="Q71" s="31"/>
      <c r="V71" s="43"/>
      <c r="W71" s="51" t="s">
        <v>68</v>
      </c>
      <c r="X71" s="70">
        <f>IF(X74&gt;=1,1,IF(X74&gt;0.5,0.5,0))</f>
        <v>0</v>
      </c>
      <c r="Y71" s="51" t="s">
        <v>70</v>
      </c>
      <c r="Z71" s="70">
        <f>VLOOKUP(X71,$AE$35:$AF$38,2,FALSE)</f>
        <v>-0.3</v>
      </c>
      <c r="AA71" s="45"/>
      <c r="AC71" s="43"/>
      <c r="AD71" s="51" t="s">
        <v>68</v>
      </c>
      <c r="AE71" s="70">
        <f>IF(AE74&gt;=1,1,IF(AE74&gt;0.5,0.5,0))</f>
        <v>0</v>
      </c>
      <c r="AF71" s="51" t="s">
        <v>70</v>
      </c>
      <c r="AG71" s="70">
        <f>VLOOKUP(AE71,$AE$35:$AF$38,2,FALSE)</f>
        <v>-0.3</v>
      </c>
      <c r="AH71" s="45"/>
      <c r="AP71" s="18"/>
      <c r="AQ71" s="15"/>
    </row>
    <row r="72" spans="12:43" ht="11.25">
      <c r="L72" s="67" t="s">
        <v>97</v>
      </c>
      <c r="M72" s="68"/>
      <c r="N72" s="68"/>
      <c r="O72" s="68"/>
      <c r="P72" s="69" t="s">
        <v>89</v>
      </c>
      <c r="Q72" s="68"/>
      <c r="R72" s="68"/>
      <c r="S72" s="66"/>
      <c r="V72" s="43"/>
      <c r="W72" s="51" t="s">
        <v>69</v>
      </c>
      <c r="X72" s="70">
        <f>IF(X74&gt;=1,100,IF(X74&gt;0.5,1,0.5))</f>
        <v>0.5</v>
      </c>
      <c r="Y72" s="51" t="s">
        <v>71</v>
      </c>
      <c r="Z72" s="70">
        <f>VLOOKUP(X72,$AE$35:$AF$38,2,FALSE)</f>
        <v>-0.3</v>
      </c>
      <c r="AA72" s="45"/>
      <c r="AC72" s="43"/>
      <c r="AD72" s="51" t="s">
        <v>69</v>
      </c>
      <c r="AE72" s="70">
        <f>IF(AE74&gt;=1,100,IF(AE74&gt;0.5,1,0.5))</f>
        <v>0.5</v>
      </c>
      <c r="AF72" s="51" t="s">
        <v>71</v>
      </c>
      <c r="AG72" s="70">
        <f>VLOOKUP(AE72,$AE$35:$AF$38,2,FALSE)</f>
        <v>-0.3</v>
      </c>
      <c r="AH72" s="45"/>
      <c r="AP72" s="18"/>
      <c r="AQ72" s="16"/>
    </row>
    <row r="73" spans="12:34" ht="11.25">
      <c r="L73" s="43"/>
      <c r="M73" s="11"/>
      <c r="N73" s="11" t="s">
        <v>80</v>
      </c>
      <c r="O73" s="11" t="s">
        <v>70</v>
      </c>
      <c r="P73" s="11" t="s">
        <v>71</v>
      </c>
      <c r="Q73" s="25"/>
      <c r="R73" s="11"/>
      <c r="S73" s="53"/>
      <c r="V73" s="43"/>
      <c r="W73" s="51"/>
      <c r="X73" s="11"/>
      <c r="Y73" s="51"/>
      <c r="Z73" s="11"/>
      <c r="AA73" s="45"/>
      <c r="AC73" s="43"/>
      <c r="AD73" s="51"/>
      <c r="AE73" s="11"/>
      <c r="AF73" s="51"/>
      <c r="AG73" s="11"/>
      <c r="AH73" s="45"/>
    </row>
    <row r="74" spans="12:34" ht="11.25">
      <c r="L74" s="43"/>
      <c r="M74" s="51" t="s">
        <v>79</v>
      </c>
      <c r="N74" s="11"/>
      <c r="O74" s="70">
        <f>IF($H$9&gt;=45,45,IF($H$9&gt;35,35,IF($H$9&gt;30,30,IF($H$9&gt;25,25,IF($H$9&gt;20,20,IF($H$9&gt;15,15,IF($H$9&gt;10,10,0)))))))</f>
        <v>25</v>
      </c>
      <c r="P74" s="70">
        <f>IF($H$9&gt;=45,60,IF($H$9&gt;35,45,IF($H$9&gt;30,35,IF($H$9&gt;25,30,IF($H$9&gt;20,25,IF($H$9&gt;15,20,IF($H$9&gt;10,15,10)))))))</f>
        <v>30</v>
      </c>
      <c r="Q74" s="29"/>
      <c r="R74" s="11"/>
      <c r="S74" s="53"/>
      <c r="V74" s="43"/>
      <c r="W74" s="51" t="s">
        <v>72</v>
      </c>
      <c r="X74" s="58">
        <f>$E$27</f>
        <v>0.2532894736842105</v>
      </c>
      <c r="Y74" s="51" t="s">
        <v>73</v>
      </c>
      <c r="Z74" s="92">
        <f>Z71+(Z72-Z71)*(X74-X71)/(X72-X71)</f>
        <v>-0.3</v>
      </c>
      <c r="AA74" s="47"/>
      <c r="AC74" s="43"/>
      <c r="AD74" s="51" t="s">
        <v>72</v>
      </c>
      <c r="AE74" s="58">
        <f>$E$45</f>
        <v>0.28875</v>
      </c>
      <c r="AF74" s="51" t="s">
        <v>73</v>
      </c>
      <c r="AG74" s="92">
        <f>AG71+(AG72-AG71)*(AE74-AE71)/(AE72-AE71)</f>
        <v>-0.3</v>
      </c>
      <c r="AH74" s="47"/>
    </row>
    <row r="75" spans="12:34" ht="11.25">
      <c r="L75" s="43"/>
      <c r="M75" s="51" t="s">
        <v>68</v>
      </c>
      <c r="N75" s="70">
        <f>IF(N78&gt;=1,1,IF(N78&gt;0.5,0.5,IF(N78&gt;0.25,0.25,0)))</f>
        <v>0.25</v>
      </c>
      <c r="O75" s="72">
        <f>VLOOKUP(N75,$V$26:$AE$30,MATCH(O74,$V$25:$AE$25,0),FALSE)</f>
        <v>-0.2</v>
      </c>
      <c r="P75" s="70">
        <f>VLOOKUP(N75,$V$26:$AE$30,MATCH(P74,$V$25:$AE$25,0),FALSE)</f>
        <v>-0.2</v>
      </c>
      <c r="Q75" s="51" t="s">
        <v>75</v>
      </c>
      <c r="R75" s="63">
        <f>((N76-N78)/(N76-N75))*O75+((N78-N75)/(N76-N75))*O76</f>
        <v>-0.21550000000000002</v>
      </c>
      <c r="S75" s="53"/>
      <c r="V75" s="48"/>
      <c r="W75" s="49"/>
      <c r="X75" s="49"/>
      <c r="Y75" s="49"/>
      <c r="Z75" s="27"/>
      <c r="AA75" s="50"/>
      <c r="AC75" s="48"/>
      <c r="AD75" s="49"/>
      <c r="AE75" s="49"/>
      <c r="AF75" s="49"/>
      <c r="AG75" s="27"/>
      <c r="AH75" s="50"/>
    </row>
    <row r="76" spans="12:19" ht="11.25">
      <c r="L76" s="43"/>
      <c r="M76" s="51" t="s">
        <v>69</v>
      </c>
      <c r="N76" s="70">
        <f>IF(N78&gt;=1,100,IF(N78&gt;0.5,1,IF(N78&gt;0.25,0.5,0.25)))</f>
        <v>0.5</v>
      </c>
      <c r="O76" s="72">
        <f>VLOOKUP(N76,$V$26:$AE$30,MATCH(O74,$V$25:$AE$25,0),FALSE)</f>
        <v>-0.3</v>
      </c>
      <c r="P76" s="70">
        <f>VLOOKUP(N76,$V$26:$AE$30,MATCH(P74,$V$25:$AE$25,0),FALSE)</f>
        <v>-0.2</v>
      </c>
      <c r="Q76" s="51" t="s">
        <v>76</v>
      </c>
      <c r="R76" s="63">
        <f>((N76-N78)/(N76-N75))*P75+((N78-N75)/(N76-N75))*P76</f>
        <v>-0.2</v>
      </c>
      <c r="S76" s="53"/>
    </row>
    <row r="77" spans="1:54" s="8" customFormat="1" ht="11.25">
      <c r="A77" s="7"/>
      <c r="B77" s="7"/>
      <c r="C77" s="7"/>
      <c r="D77" s="7"/>
      <c r="E77" s="9"/>
      <c r="F77" s="10"/>
      <c r="G77" s="11"/>
      <c r="H77" s="7"/>
      <c r="K77" s="7"/>
      <c r="L77" s="43"/>
      <c r="M77" s="51"/>
      <c r="N77" s="11"/>
      <c r="O77" s="51"/>
      <c r="P77" s="11"/>
      <c r="Q77" s="51"/>
      <c r="R77" s="11"/>
      <c r="S77" s="53"/>
      <c r="AB77" s="7"/>
      <c r="AC77" s="7"/>
      <c r="AD77" s="7"/>
      <c r="AE77" s="7"/>
      <c r="AF77" s="7"/>
      <c r="AG77" s="7"/>
      <c r="AH77" s="7"/>
      <c r="AI77" s="7"/>
      <c r="AZ77" s="7"/>
      <c r="BA77" s="7"/>
      <c r="BB77" s="7"/>
    </row>
    <row r="78" spans="12:19" ht="11.25">
      <c r="L78" s="43"/>
      <c r="M78" s="51" t="s">
        <v>72</v>
      </c>
      <c r="N78" s="58">
        <f>$E$45</f>
        <v>0.28875</v>
      </c>
      <c r="O78" s="51" t="s">
        <v>73</v>
      </c>
      <c r="P78" s="58">
        <f>$H$9</f>
        <v>26.56505117707799</v>
      </c>
      <c r="Q78" s="51" t="s">
        <v>77</v>
      </c>
      <c r="R78" s="73">
        <f>((P74-P78)/(P74-O74))*R75+((P78-O74)/(P74-O74))*R76</f>
        <v>-0.21064834135105825</v>
      </c>
      <c r="S78" s="53"/>
    </row>
    <row r="79" spans="1:19" ht="11.25">
      <c r="A79" s="8"/>
      <c r="L79" s="48"/>
      <c r="M79" s="49"/>
      <c r="N79" s="49"/>
      <c r="O79" s="49"/>
      <c r="P79" s="27"/>
      <c r="Q79" s="56"/>
      <c r="R79" s="49"/>
      <c r="S79" s="54"/>
    </row>
    <row r="80" spans="1:54" s="8" customFormat="1" ht="11.25">
      <c r="A80" s="7"/>
      <c r="B80" s="7"/>
      <c r="C80" s="7"/>
      <c r="D80" s="7"/>
      <c r="E80" s="9"/>
      <c r="F80" s="10"/>
      <c r="G80" s="11"/>
      <c r="H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Z80" s="7"/>
      <c r="BA80" s="7"/>
      <c r="BB80" s="7"/>
    </row>
    <row r="81" spans="11:19" ht="11.25">
      <c r="K81" s="8"/>
      <c r="L81" s="8"/>
      <c r="M81" s="8"/>
      <c r="N81" s="8"/>
      <c r="O81" s="8"/>
      <c r="P81" s="8"/>
      <c r="Q81" s="8"/>
      <c r="S81" s="9"/>
    </row>
    <row r="82" spans="1:17" ht="11.25">
      <c r="A82" s="8"/>
      <c r="L82" s="40"/>
      <c r="M82" s="41"/>
      <c r="N82" s="41"/>
      <c r="O82" s="41"/>
      <c r="P82" s="41"/>
      <c r="Q82" s="42"/>
    </row>
    <row r="83" spans="12:17" ht="11.25">
      <c r="L83" s="43"/>
      <c r="M83" s="11" t="s">
        <v>67</v>
      </c>
      <c r="N83" s="11"/>
      <c r="O83" s="11"/>
      <c r="P83" s="11"/>
      <c r="Q83" s="44"/>
    </row>
    <row r="84" spans="11:17" ht="11.25">
      <c r="K84" s="8"/>
      <c r="L84" s="43"/>
      <c r="M84" s="11"/>
      <c r="N84" s="11"/>
      <c r="O84" s="11"/>
      <c r="P84" s="11"/>
      <c r="Q84" s="45"/>
    </row>
    <row r="85" spans="12:17" ht="11.25">
      <c r="L85" s="43"/>
      <c r="M85" s="51" t="s">
        <v>68</v>
      </c>
      <c r="N85" s="46">
        <v>0.25</v>
      </c>
      <c r="O85" s="51" t="s">
        <v>70</v>
      </c>
      <c r="P85" s="46">
        <v>-0.3</v>
      </c>
      <c r="Q85" s="45"/>
    </row>
    <row r="86" spans="12:17" ht="11.25">
      <c r="L86" s="43"/>
      <c r="M86" s="51" t="s">
        <v>69</v>
      </c>
      <c r="N86" s="46">
        <v>0.5</v>
      </c>
      <c r="O86" s="51" t="s">
        <v>71</v>
      </c>
      <c r="P86" s="46">
        <v>-0.5</v>
      </c>
      <c r="Q86" s="45"/>
    </row>
    <row r="87" spans="12:54" ht="11.25">
      <c r="L87" s="43"/>
      <c r="M87" s="51"/>
      <c r="N87" s="11"/>
      <c r="O87" s="51"/>
      <c r="P87" s="11"/>
      <c r="Q87" s="45"/>
      <c r="BA87" s="8"/>
      <c r="BB87" s="8"/>
    </row>
    <row r="88" spans="12:17" ht="11.25">
      <c r="L88" s="43"/>
      <c r="M88" s="51" t="s">
        <v>72</v>
      </c>
      <c r="N88" s="46">
        <v>0.54</v>
      </c>
      <c r="O88" s="51" t="s">
        <v>73</v>
      </c>
      <c r="P88" s="39">
        <f>P85+(P86-P85)*(N88-N85)/(N86-N85)</f>
        <v>-0.532</v>
      </c>
      <c r="Q88" s="47"/>
    </row>
    <row r="89" spans="1:54" s="8" customFormat="1" ht="11.25">
      <c r="A89" s="7"/>
      <c r="B89" s="7"/>
      <c r="C89" s="7"/>
      <c r="D89" s="7"/>
      <c r="E89" s="9"/>
      <c r="F89" s="10"/>
      <c r="G89" s="11"/>
      <c r="H89" s="7"/>
      <c r="K89" s="7"/>
      <c r="L89" s="48"/>
      <c r="M89" s="49"/>
      <c r="N89" s="49"/>
      <c r="O89" s="49"/>
      <c r="P89" s="27"/>
      <c r="Q89" s="50"/>
      <c r="R89" s="7"/>
      <c r="S89" s="7"/>
      <c r="AZ89" s="7"/>
      <c r="BA89" s="7"/>
      <c r="BB89" s="7"/>
    </row>
    <row r="90" spans="1:19" s="8" customFormat="1" ht="11.25">
      <c r="A90" s="7"/>
      <c r="B90" s="7"/>
      <c r="C90" s="7"/>
      <c r="D90" s="7"/>
      <c r="E90" s="9"/>
      <c r="F90" s="10"/>
      <c r="G90" s="11"/>
      <c r="H90" s="7"/>
      <c r="K90" s="7"/>
      <c r="L90" s="7"/>
      <c r="M90" s="7"/>
      <c r="N90" s="7"/>
      <c r="O90" s="7"/>
      <c r="P90" s="9"/>
      <c r="Q90" s="12"/>
      <c r="R90" s="7"/>
      <c r="S90" s="7"/>
    </row>
    <row r="91" spans="1:17" ht="11.25">
      <c r="A91" s="8"/>
      <c r="P91" s="9"/>
      <c r="Q91" s="12"/>
    </row>
    <row r="92" spans="1:19" ht="11.25">
      <c r="A92" s="8"/>
      <c r="L92" s="40" t="s">
        <v>74</v>
      </c>
      <c r="M92" s="41"/>
      <c r="N92" s="41"/>
      <c r="O92" s="41"/>
      <c r="P92" s="41"/>
      <c r="Q92" s="55"/>
      <c r="R92" s="41"/>
      <c r="S92" s="52"/>
    </row>
    <row r="93" spans="1:19" s="8" customFormat="1" ht="11.25">
      <c r="A93" s="7"/>
      <c r="B93" s="7"/>
      <c r="C93" s="7"/>
      <c r="D93" s="7"/>
      <c r="E93" s="9"/>
      <c r="F93" s="10"/>
      <c r="G93" s="11"/>
      <c r="H93" s="7"/>
      <c r="L93" s="43"/>
      <c r="M93" s="11"/>
      <c r="N93" s="11" t="s">
        <v>80</v>
      </c>
      <c r="O93" s="11" t="s">
        <v>70</v>
      </c>
      <c r="P93" s="11" t="s">
        <v>71</v>
      </c>
      <c r="Q93" s="25"/>
      <c r="R93" s="11"/>
      <c r="S93" s="53"/>
    </row>
    <row r="94" spans="1:19" s="8" customFormat="1" ht="11.25">
      <c r="A94" s="7"/>
      <c r="B94" s="7"/>
      <c r="C94" s="7"/>
      <c r="D94" s="7"/>
      <c r="E94" s="9"/>
      <c r="F94" s="10"/>
      <c r="G94" s="11"/>
      <c r="H94" s="7"/>
      <c r="L94" s="43"/>
      <c r="M94" s="51" t="s">
        <v>79</v>
      </c>
      <c r="N94" s="11"/>
      <c r="O94" s="46">
        <v>15</v>
      </c>
      <c r="P94" s="46">
        <v>20</v>
      </c>
      <c r="Q94" s="29"/>
      <c r="R94" s="11"/>
      <c r="S94" s="53"/>
    </row>
    <row r="95" spans="2:19" s="8" customFormat="1" ht="11.25">
      <c r="B95" s="7"/>
      <c r="C95" s="7"/>
      <c r="D95" s="7"/>
      <c r="E95" s="9"/>
      <c r="F95" s="10"/>
      <c r="G95" s="11"/>
      <c r="H95" s="7"/>
      <c r="K95" s="7"/>
      <c r="L95" s="43"/>
      <c r="M95" s="51" t="s">
        <v>68</v>
      </c>
      <c r="N95" s="46">
        <v>0.25</v>
      </c>
      <c r="O95" s="57">
        <v>0.2</v>
      </c>
      <c r="P95" s="46">
        <v>0.3</v>
      </c>
      <c r="Q95" s="51" t="s">
        <v>75</v>
      </c>
      <c r="R95" s="46">
        <f>((N96-N98)/(N96-N95))*O95+((N98-N95)/(N96-N95))*O96</f>
        <v>0.12799999999999997</v>
      </c>
      <c r="S95" s="53"/>
    </row>
    <row r="96" spans="1:19" ht="11.25">
      <c r="A96" s="8"/>
      <c r="L96" s="43"/>
      <c r="M96" s="51" t="s">
        <v>69</v>
      </c>
      <c r="N96" s="46">
        <v>0.5</v>
      </c>
      <c r="O96" s="57">
        <v>0</v>
      </c>
      <c r="P96" s="46">
        <v>0.2</v>
      </c>
      <c r="Q96" s="51" t="s">
        <v>76</v>
      </c>
      <c r="R96" s="46">
        <f>((N96-N98)/(N96-N95))*P95+((N98-N95)/(N96-N95))*P96</f>
        <v>0.264</v>
      </c>
      <c r="S96" s="53"/>
    </row>
    <row r="97" spans="1:19" ht="11.25">
      <c r="A97" s="8"/>
      <c r="K97" s="8"/>
      <c r="L97" s="43"/>
      <c r="M97" s="51"/>
      <c r="N97" s="11"/>
      <c r="O97" s="51"/>
      <c r="P97" s="11"/>
      <c r="Q97" s="51"/>
      <c r="R97" s="11"/>
      <c r="S97" s="53"/>
    </row>
    <row r="98" spans="11:19" ht="11.25">
      <c r="K98" s="8"/>
      <c r="L98" s="43"/>
      <c r="M98" s="51" t="s">
        <v>72</v>
      </c>
      <c r="N98" s="46">
        <v>0.34</v>
      </c>
      <c r="O98" s="51" t="s">
        <v>73</v>
      </c>
      <c r="P98" s="58">
        <f>H9</f>
        <v>26.56505117707799</v>
      </c>
      <c r="Q98" s="51" t="s">
        <v>77</v>
      </c>
      <c r="R98" s="59">
        <f>((P94-P98)/(P94-O94))*R95+((P98-O94)/(P94-O94))*R96</f>
        <v>0.44256939201652135</v>
      </c>
      <c r="S98" s="53"/>
    </row>
    <row r="99" spans="11:19" ht="11.25">
      <c r="K99" s="8"/>
      <c r="L99" s="48"/>
      <c r="M99" s="49"/>
      <c r="N99" s="49"/>
      <c r="O99" s="49"/>
      <c r="P99" s="27"/>
      <c r="Q99" s="56"/>
      <c r="R99" s="49"/>
      <c r="S99" s="54"/>
    </row>
  </sheetData>
  <sheetProtection sheet="1"/>
  <conditionalFormatting sqref="H9">
    <cfRule type="cellIs" priority="1" dxfId="0" operator="lessThanOrEqual" stopIfTrue="1">
      <formula>10</formula>
    </cfRule>
  </conditionalFormatting>
  <printOptions/>
  <pageMargins left="0.75" right="0.75" top="0.6" bottom="0.4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Medeek Engineering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MWFRS (Directional Procedure</dc:title>
  <dc:subject/>
  <dc:creator>Nathaniel P. Wilkerson</dc:creator>
  <cp:keywords/>
  <dc:description/>
  <cp:lastModifiedBy>Nathaniel P. Wilkerson</cp:lastModifiedBy>
  <cp:lastPrinted>2014-08-22T23:41:41Z</cp:lastPrinted>
  <dcterms:created xsi:type="dcterms:W3CDTF">2006-12-28T19:18:19Z</dcterms:created>
  <dcterms:modified xsi:type="dcterms:W3CDTF">2015-02-08T18:04:42Z</dcterms:modified>
  <cp:category/>
  <cp:version/>
  <cp:contentType/>
  <cp:contentStatus/>
</cp:coreProperties>
</file>