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8065" windowHeight="14295" activeTab="0"/>
  </bookViews>
  <sheets>
    <sheet name="WIND_C&amp;C" sheetId="1" r:id="rId1"/>
  </sheets>
  <definedNames>
    <definedName name="_xlnm.Print_Area" localSheetId="0">'WIND_C&amp;C'!$A$1:$T$61</definedName>
  </definedNames>
  <calcPr fullCalcOnLoad="1"/>
</workbook>
</file>

<file path=xl/sharedStrings.xml><?xml version="1.0" encoding="utf-8"?>
<sst xmlns="http://schemas.openxmlformats.org/spreadsheetml/2006/main" count="464" uniqueCount="100">
  <si>
    <t>MPH</t>
  </si>
  <si>
    <t>Roof Eve Height</t>
  </si>
  <si>
    <t>Peak Roof Height</t>
  </si>
  <si>
    <t>FT</t>
  </si>
  <si>
    <t>Mean Roof Height</t>
  </si>
  <si>
    <t>Terrain Exp. Category</t>
  </si>
  <si>
    <t>Job#:</t>
  </si>
  <si>
    <t>Roof Pitch</t>
  </si>
  <si>
    <t>:12</t>
  </si>
  <si>
    <t>WIND</t>
  </si>
  <si>
    <t>Basic Wind Speed (ultimate)</t>
  </si>
  <si>
    <t>Topography Factor</t>
  </si>
  <si>
    <t>ASCE 7-10 Fig. 26.8-1</t>
  </si>
  <si>
    <t>Wind Analysis Method</t>
  </si>
  <si>
    <t>Directionality Factor</t>
  </si>
  <si>
    <t>ASCE 7-10 Fig. 26.6-1</t>
  </si>
  <si>
    <t>Height (ft)</t>
  </si>
  <si>
    <t>h =</t>
  </si>
  <si>
    <t>Gust Effect Factor</t>
  </si>
  <si>
    <t>G =</t>
  </si>
  <si>
    <t>ASCE 7-10 Sec. 26.9.1</t>
  </si>
  <si>
    <t>DEG</t>
  </si>
  <si>
    <r>
      <t>K</t>
    </r>
    <r>
      <rPr>
        <sz val="7"/>
        <rFont val="Arial"/>
        <family val="2"/>
      </rPr>
      <t>zt</t>
    </r>
    <r>
      <rPr>
        <sz val="8"/>
        <rFont val="Arial"/>
        <family val="2"/>
      </rPr>
      <t xml:space="preserve"> =</t>
    </r>
  </si>
  <si>
    <r>
      <t>K</t>
    </r>
    <r>
      <rPr>
        <sz val="7"/>
        <rFont val="Arial"/>
        <family val="2"/>
      </rPr>
      <t>d</t>
    </r>
    <r>
      <rPr>
        <sz val="8"/>
        <rFont val="Arial"/>
        <family val="2"/>
      </rPr>
      <t xml:space="preserve"> =</t>
    </r>
  </si>
  <si>
    <r>
      <t>K</t>
    </r>
    <r>
      <rPr>
        <sz val="7"/>
        <rFont val="Arial"/>
        <family val="2"/>
      </rPr>
      <t>z</t>
    </r>
  </si>
  <si>
    <r>
      <t>q</t>
    </r>
    <r>
      <rPr>
        <sz val="7"/>
        <rFont val="Arial"/>
        <family val="2"/>
      </rPr>
      <t>z</t>
    </r>
  </si>
  <si>
    <r>
      <t>q</t>
    </r>
    <r>
      <rPr>
        <i/>
        <sz val="7"/>
        <rFont val="Arial"/>
        <family val="2"/>
      </rPr>
      <t>z</t>
    </r>
    <r>
      <rPr>
        <i/>
        <sz val="8"/>
        <rFont val="Arial"/>
        <family val="2"/>
      </rPr>
      <t>=.00256K</t>
    </r>
    <r>
      <rPr>
        <i/>
        <sz val="7"/>
        <rFont val="Arial"/>
        <family val="2"/>
      </rPr>
      <t>z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zt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d</t>
    </r>
    <r>
      <rPr>
        <i/>
        <sz val="8"/>
        <rFont val="Arial"/>
        <family val="2"/>
      </rPr>
      <t>V</t>
    </r>
    <r>
      <rPr>
        <i/>
        <vertAlign val="superscript"/>
        <sz val="8"/>
        <rFont val="Arial"/>
        <family val="2"/>
      </rPr>
      <t>2</t>
    </r>
  </si>
  <si>
    <t>α =</t>
  </si>
  <si>
    <r>
      <t>z</t>
    </r>
    <r>
      <rPr>
        <sz val="7"/>
        <rFont val="Arial"/>
        <family val="2"/>
      </rPr>
      <t>g</t>
    </r>
    <r>
      <rPr>
        <sz val="8"/>
        <rFont val="Arial"/>
        <family val="2"/>
      </rPr>
      <t xml:space="preserve"> =</t>
    </r>
    <r>
      <rPr>
        <sz val="7"/>
        <rFont val="Arial"/>
        <family val="2"/>
      </rPr>
      <t xml:space="preserve"> </t>
    </r>
  </si>
  <si>
    <t>x</t>
  </si>
  <si>
    <t>Single Interpolation</t>
  </si>
  <si>
    <t>Note: Pressures are limit state design pressures for strength design. Multiple by 0.6 for ASD.</t>
  </si>
  <si>
    <t>ft</t>
  </si>
  <si>
    <t>Roof Angle</t>
  </si>
  <si>
    <t>B</t>
  </si>
  <si>
    <r>
      <t>ft</t>
    </r>
    <r>
      <rPr>
        <vertAlign val="superscript"/>
        <sz val="8"/>
        <rFont val="Arial"/>
        <family val="2"/>
      </rPr>
      <t>2</t>
    </r>
  </si>
  <si>
    <t>=</t>
  </si>
  <si>
    <t>C</t>
  </si>
  <si>
    <t>D</t>
  </si>
  <si>
    <t>Page 1</t>
  </si>
  <si>
    <t>Page 2</t>
  </si>
  <si>
    <t>(C&amp;C)</t>
  </si>
  <si>
    <t>Roof Components</t>
  </si>
  <si>
    <t>Component</t>
  </si>
  <si>
    <t>Width (ft.)</t>
  </si>
  <si>
    <t>Trib. Area</t>
  </si>
  <si>
    <t>Eff. Area</t>
  </si>
  <si>
    <t>Truss/Rafter</t>
  </si>
  <si>
    <t>Panel</t>
  </si>
  <si>
    <t>-</t>
  </si>
  <si>
    <t>Velocity Pressure</t>
  </si>
  <si>
    <t>Zone 1 Pos</t>
  </si>
  <si>
    <t>Zone1 Neg</t>
  </si>
  <si>
    <t>Zone 2 Pos</t>
  </si>
  <si>
    <t>Zone 2 Neg</t>
  </si>
  <si>
    <t>Zone 3 Pos</t>
  </si>
  <si>
    <t>Zone 3 Neg</t>
  </si>
  <si>
    <t>(psf)</t>
  </si>
  <si>
    <t>smaller of:</t>
  </si>
  <si>
    <t>Min. Pressure:  The design wind pressure for C&amp;C shall not be less than 16 psf acting in either direction normal to the surface.</t>
  </si>
  <si>
    <t>not less than:</t>
  </si>
  <si>
    <t>or</t>
  </si>
  <si>
    <t>Span (ft.)</t>
  </si>
  <si>
    <t>2016-004</t>
  </si>
  <si>
    <t>0 to 7.5</t>
  </si>
  <si>
    <t>7.5 to 15</t>
  </si>
  <si>
    <t>Roof Angle - x0</t>
  </si>
  <si>
    <t>Roof Angle - x1</t>
  </si>
  <si>
    <t>Cnw - y0</t>
  </si>
  <si>
    <t>Cnl - y1</t>
  </si>
  <si>
    <t>Cnw - y1</t>
  </si>
  <si>
    <t>Cnl - y0</t>
  </si>
  <si>
    <t>Cnw - y</t>
  </si>
  <si>
    <r>
      <t>p = q</t>
    </r>
    <r>
      <rPr>
        <i/>
        <vertAlign val="subscript"/>
        <sz val="8"/>
        <rFont val="Arial"/>
        <family val="2"/>
      </rPr>
      <t>h</t>
    </r>
    <r>
      <rPr>
        <i/>
        <sz val="8"/>
        <rFont val="Arial"/>
        <family val="2"/>
      </rPr>
      <t>GC</t>
    </r>
    <r>
      <rPr>
        <i/>
        <vertAlign val="subscript"/>
        <sz val="7"/>
        <rFont val="Arial"/>
        <family val="2"/>
      </rPr>
      <t>N</t>
    </r>
  </si>
  <si>
    <t>Cnl - y</t>
  </si>
  <si>
    <t>Copyright ® 2016 - Medeek Engineering Inc.</t>
  </si>
  <si>
    <t>Part 5: Open Buildings</t>
  </si>
  <si>
    <t>Width of Zones 2,3</t>
  </si>
  <si>
    <t>Rev. 1.0.0 - 03/08/2016</t>
  </si>
  <si>
    <t>ASCE 7-10 Fig. 30.8-2</t>
  </si>
  <si>
    <r>
      <t>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=</t>
    </r>
  </si>
  <si>
    <r>
      <t>4.0a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=</t>
    </r>
  </si>
  <si>
    <r>
      <t>A ≤ a</t>
    </r>
    <r>
      <rPr>
        <vertAlign val="superscript"/>
        <sz val="8"/>
        <rFont val="Arial"/>
        <family val="2"/>
      </rPr>
      <t>2</t>
    </r>
  </si>
  <si>
    <r>
      <t>a &lt; A ≤ 4.0a</t>
    </r>
    <r>
      <rPr>
        <vertAlign val="superscript"/>
        <sz val="8"/>
        <rFont val="Arial"/>
        <family val="2"/>
      </rPr>
      <t>2</t>
    </r>
  </si>
  <si>
    <r>
      <t>A &gt; 4.0a</t>
    </r>
    <r>
      <rPr>
        <vertAlign val="superscript"/>
        <sz val="8"/>
        <rFont val="Arial"/>
        <family val="2"/>
      </rPr>
      <t>2</t>
    </r>
  </si>
  <si>
    <r>
      <t>Span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/3</t>
    </r>
  </si>
  <si>
    <t>Roof Coefficients - Clear Wind Flow</t>
  </si>
  <si>
    <t>Roof Design Pressures - Obstructed Wind Flow</t>
  </si>
  <si>
    <t>Roof Design Pressures - Clear Wind Flow</t>
  </si>
  <si>
    <r>
      <t>Roof Coeficients (C</t>
    </r>
    <r>
      <rPr>
        <vertAlign val="subscript"/>
        <sz val="7"/>
        <rFont val="Arial"/>
        <family val="2"/>
      </rPr>
      <t>N</t>
    </r>
    <r>
      <rPr>
        <sz val="7"/>
        <rFont val="Arial"/>
        <family val="2"/>
      </rPr>
      <t>) taken from ASCE 7-10 Fig. 30.8-2</t>
    </r>
  </si>
  <si>
    <t>Roof Coefficients - Obstructed Wind Flow</t>
  </si>
  <si>
    <t>15 to 30</t>
  </si>
  <si>
    <t>30 to 45</t>
  </si>
  <si>
    <t>Pitched Free Roof Clear Wind Flow Zone 1:</t>
  </si>
  <si>
    <t>Pitched Free Roof Clear Wind Flow Zone 2:</t>
  </si>
  <si>
    <t>Pitched Free Roof Clear Wind Flow Zone 3:</t>
  </si>
  <si>
    <t>Pitched Free Roof Obstructed Wind Flow Zone 1:</t>
  </si>
  <si>
    <t>Pitched Obstructed Roof Clear Wind Flow Zone 2:</t>
  </si>
  <si>
    <t>Pitched Obstructed Roof Clear Wind Flow Zone 3:</t>
  </si>
  <si>
    <t>Wind Blockage Note: Clear wind flow denotes relatively unobstructed wind flow with blockage less than or equal to 50%.  Obstructed wind flow denotes objects below roof inhibiting wind flow (&gt;50% blockage).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</si>
</sst>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[$-409]dddd\,\ mmmm\ dd\,\ yyyy"/>
    <numFmt numFmtId="168" formatCode="0.000"/>
    <numFmt numFmtId="169" formatCode="0.0000"/>
    <numFmt numFmtId="170" formatCode="[$-409]h:mm:ss\ AM/PM"/>
    <numFmt numFmtId="171" formatCode="00000"/>
    <numFmt numFmtId="172" formatCode="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8"/>
      <name val="Arial"/>
      <family val="2"/>
    </font>
    <font>
      <sz val="8"/>
      <name val="Arial Unicode MS"/>
      <family val="2"/>
    </font>
    <font>
      <vertAlign val="superscript"/>
      <sz val="8"/>
      <name val="Arial"/>
      <family val="2"/>
    </font>
    <font>
      <vertAlign val="subscript"/>
      <sz val="7"/>
      <name val="Arial"/>
      <family val="2"/>
    </font>
    <font>
      <i/>
      <vertAlign val="subscript"/>
      <sz val="8"/>
      <name val="Arial"/>
      <family val="2"/>
    </font>
    <font>
      <i/>
      <vertAlign val="sub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sz val="8"/>
      <color indexed="5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C00000"/>
      <name val="Arial"/>
      <family val="2"/>
    </font>
    <font>
      <sz val="8"/>
      <color rgb="FF003C0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15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8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2" fontId="4" fillId="0" borderId="0" xfId="0" applyNumberFormat="1" applyFont="1" applyAlignment="1">
      <alignment horizontal="left" vertical="center"/>
    </xf>
    <xf numFmtId="0" fontId="51" fillId="0" borderId="0" xfId="0" applyNumberFormat="1" applyFont="1" applyAlignment="1">
      <alignment horizontal="left" vertical="center"/>
    </xf>
    <xf numFmtId="2" fontId="3" fillId="0" borderId="12" xfId="0" applyNumberFormat="1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68" fontId="3" fillId="33" borderId="15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2" fontId="3" fillId="34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9" fontId="3" fillId="4" borderId="13" xfId="0" applyNumberFormat="1" applyFont="1" applyFill="1" applyBorder="1" applyAlignment="1">
      <alignment vertical="center"/>
    </xf>
    <xf numFmtId="169" fontId="3" fillId="4" borderId="0" xfId="0" applyNumberFormat="1" applyFont="1" applyFill="1" applyBorder="1" applyAlignment="1">
      <alignment vertical="center"/>
    </xf>
    <xf numFmtId="169" fontId="3" fillId="4" borderId="12" xfId="0" applyNumberFormat="1" applyFont="1" applyFill="1" applyBorder="1" applyAlignment="1">
      <alignment vertical="center"/>
    </xf>
    <xf numFmtId="169" fontId="3" fillId="4" borderId="20" xfId="0" applyNumberFormat="1" applyFont="1" applyFill="1" applyBorder="1" applyAlignment="1">
      <alignment vertical="center"/>
    </xf>
    <xf numFmtId="169" fontId="3" fillId="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2" fontId="53" fillId="0" borderId="0" xfId="0" applyNumberFormat="1" applyFont="1" applyFill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right" vertical="center"/>
    </xf>
    <xf numFmtId="2" fontId="3" fillId="34" borderId="0" xfId="0" applyNumberFormat="1" applyFont="1" applyFill="1" applyBorder="1" applyAlignment="1" applyProtection="1">
      <alignment vertical="center"/>
      <protection/>
    </xf>
    <xf numFmtId="168" fontId="3" fillId="34" borderId="0" xfId="0" applyNumberFormat="1" applyFont="1" applyFill="1" applyBorder="1" applyAlignment="1" applyProtection="1">
      <alignment vertical="center"/>
      <protection/>
    </xf>
    <xf numFmtId="2" fontId="3" fillId="34" borderId="0" xfId="0" applyNumberFormat="1" applyFont="1" applyFill="1" applyAlignment="1">
      <alignment horizontal="right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114300</xdr:rowOff>
    </xdr:from>
    <xdr:to>
      <xdr:col>9</xdr:col>
      <xdr:colOff>523875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05100"/>
          <a:ext cx="5419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0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2" max="2" width="9.421875" style="0" customWidth="1"/>
    <col min="10" max="10" width="8.7109375" style="0" customWidth="1"/>
    <col min="12" max="12" width="10.140625" style="0" customWidth="1"/>
    <col min="24" max="24" width="12.00390625" style="0" customWidth="1"/>
    <col min="25" max="25" width="12.421875" style="0" customWidth="1"/>
  </cols>
  <sheetData>
    <row r="1" spans="1:20" ht="12.75">
      <c r="A1" s="1"/>
      <c r="B1" s="1"/>
      <c r="C1" s="1"/>
      <c r="D1" s="1"/>
      <c r="E1" s="2"/>
      <c r="F1" s="3"/>
      <c r="G1" s="4"/>
      <c r="H1" s="1"/>
      <c r="I1" s="1" t="s">
        <v>6</v>
      </c>
      <c r="J1" s="1" t="s">
        <v>63</v>
      </c>
      <c r="K1" s="1"/>
      <c r="L1" s="1"/>
      <c r="M1" s="1"/>
      <c r="N1" s="1"/>
      <c r="O1" s="2"/>
      <c r="P1" s="3"/>
      <c r="Q1" s="4"/>
      <c r="R1" s="1"/>
      <c r="S1" s="1" t="s">
        <v>6</v>
      </c>
      <c r="T1" s="1" t="str">
        <f>J1</f>
        <v>2016-004</v>
      </c>
    </row>
    <row r="2" spans="1:20" ht="12.75">
      <c r="A2" s="5"/>
      <c r="B2" s="6" t="s">
        <v>9</v>
      </c>
      <c r="C2" s="5" t="s">
        <v>41</v>
      </c>
      <c r="D2" s="5"/>
      <c r="E2" s="7"/>
      <c r="F2" s="8"/>
      <c r="G2" s="9"/>
      <c r="H2" s="5"/>
      <c r="I2" s="5"/>
      <c r="J2" s="5"/>
      <c r="K2" s="5"/>
      <c r="L2" s="6" t="s">
        <v>42</v>
      </c>
      <c r="M2" s="6"/>
      <c r="N2" s="6"/>
      <c r="O2" s="14"/>
      <c r="P2" s="3"/>
      <c r="Q2" s="13"/>
      <c r="R2" s="17"/>
      <c r="S2" s="5"/>
      <c r="T2" s="5"/>
    </row>
    <row r="3" spans="1:53" ht="12.75">
      <c r="A3" s="5"/>
      <c r="B3" s="5" t="s">
        <v>13</v>
      </c>
      <c r="C3" s="5"/>
      <c r="D3" s="5"/>
      <c r="E3" s="7"/>
      <c r="F3" s="8"/>
      <c r="G3" s="11" t="s">
        <v>76</v>
      </c>
      <c r="H3" s="5"/>
      <c r="I3" s="5"/>
      <c r="J3" s="5"/>
      <c r="K3" s="5"/>
      <c r="L3" s="44" t="s">
        <v>43</v>
      </c>
      <c r="M3" s="44" t="s">
        <v>62</v>
      </c>
      <c r="N3" s="44" t="s">
        <v>44</v>
      </c>
      <c r="O3" s="44" t="s">
        <v>45</v>
      </c>
      <c r="P3" s="45" t="s">
        <v>85</v>
      </c>
      <c r="Q3" s="45" t="s">
        <v>46</v>
      </c>
      <c r="R3" s="46"/>
      <c r="S3" s="5"/>
      <c r="T3" s="5"/>
      <c r="V3" s="30" t="s">
        <v>93</v>
      </c>
      <c r="W3" s="31"/>
      <c r="X3" s="31"/>
      <c r="Y3" s="31"/>
      <c r="Z3" s="67" t="s">
        <v>82</v>
      </c>
      <c r="AA3" s="31"/>
      <c r="AB3" s="31"/>
      <c r="AC3" s="32" t="s">
        <v>30</v>
      </c>
      <c r="AD3" s="31"/>
      <c r="AE3" s="33"/>
      <c r="AG3" s="30" t="s">
        <v>94</v>
      </c>
      <c r="AH3" s="31"/>
      <c r="AI3" s="31"/>
      <c r="AJ3" s="31"/>
      <c r="AK3" s="67" t="s">
        <v>82</v>
      </c>
      <c r="AL3" s="31"/>
      <c r="AM3" s="31"/>
      <c r="AN3" s="32" t="s">
        <v>30</v>
      </c>
      <c r="AO3" s="31"/>
      <c r="AP3" s="33"/>
      <c r="AR3" s="30" t="s">
        <v>95</v>
      </c>
      <c r="AS3" s="31"/>
      <c r="AT3" s="31"/>
      <c r="AU3" s="31"/>
      <c r="AV3" s="67" t="s">
        <v>82</v>
      </c>
      <c r="AW3" s="31"/>
      <c r="AX3" s="31"/>
      <c r="AY3" s="32" t="s">
        <v>30</v>
      </c>
      <c r="AZ3" s="31"/>
      <c r="BA3" s="33"/>
    </row>
    <row r="4" spans="1:53" ht="12.75">
      <c r="A4" s="5"/>
      <c r="B4" s="5" t="s">
        <v>10</v>
      </c>
      <c r="C4" s="5"/>
      <c r="D4" s="5"/>
      <c r="E4" s="7"/>
      <c r="F4" s="47">
        <v>135</v>
      </c>
      <c r="G4" s="9" t="s">
        <v>0</v>
      </c>
      <c r="H4" s="5"/>
      <c r="I4" s="5"/>
      <c r="J4" s="5"/>
      <c r="K4" s="5"/>
      <c r="L4" s="48" t="s">
        <v>47</v>
      </c>
      <c r="M4" s="49">
        <v>21</v>
      </c>
      <c r="N4" s="49">
        <v>2</v>
      </c>
      <c r="O4" s="50">
        <f>M4*N4</f>
        <v>42</v>
      </c>
      <c r="P4" s="51">
        <f>M4*M4/3</f>
        <v>147</v>
      </c>
      <c r="Q4" s="50">
        <f>IF(O4&gt;P4,O4,P4)</f>
        <v>147</v>
      </c>
      <c r="R4" s="36" t="s">
        <v>35</v>
      </c>
      <c r="S4" s="5"/>
      <c r="T4" s="5"/>
      <c r="V4" s="22" t="s">
        <v>33</v>
      </c>
      <c r="W4" s="9" t="s">
        <v>33</v>
      </c>
      <c r="X4" s="9" t="s">
        <v>66</v>
      </c>
      <c r="Y4" s="9" t="s">
        <v>67</v>
      </c>
      <c r="Z4" s="10" t="s">
        <v>68</v>
      </c>
      <c r="AA4" s="9" t="s">
        <v>70</v>
      </c>
      <c r="AB4" s="9" t="s">
        <v>72</v>
      </c>
      <c r="AC4" s="10" t="s">
        <v>71</v>
      </c>
      <c r="AD4" s="9" t="s">
        <v>69</v>
      </c>
      <c r="AE4" s="26" t="s">
        <v>74</v>
      </c>
      <c r="AG4" s="22" t="s">
        <v>33</v>
      </c>
      <c r="AH4" s="9" t="s">
        <v>33</v>
      </c>
      <c r="AI4" s="9" t="s">
        <v>66</v>
      </c>
      <c r="AJ4" s="9" t="s">
        <v>67</v>
      </c>
      <c r="AK4" s="10" t="s">
        <v>68</v>
      </c>
      <c r="AL4" s="9" t="s">
        <v>70</v>
      </c>
      <c r="AM4" s="9" t="s">
        <v>72</v>
      </c>
      <c r="AN4" s="10" t="s">
        <v>71</v>
      </c>
      <c r="AO4" s="9" t="s">
        <v>69</v>
      </c>
      <c r="AP4" s="26" t="s">
        <v>74</v>
      </c>
      <c r="AR4" s="22" t="s">
        <v>33</v>
      </c>
      <c r="AS4" s="9" t="s">
        <v>33</v>
      </c>
      <c r="AT4" s="9" t="s">
        <v>66</v>
      </c>
      <c r="AU4" s="9" t="s">
        <v>67</v>
      </c>
      <c r="AV4" s="10" t="s">
        <v>68</v>
      </c>
      <c r="AW4" s="9" t="s">
        <v>70</v>
      </c>
      <c r="AX4" s="9" t="s">
        <v>72</v>
      </c>
      <c r="AY4" s="10" t="s">
        <v>71</v>
      </c>
      <c r="AZ4" s="9" t="s">
        <v>69</v>
      </c>
      <c r="BA4" s="26" t="s">
        <v>74</v>
      </c>
    </row>
    <row r="5" spans="1:53" ht="12.75">
      <c r="A5" s="5"/>
      <c r="B5" s="5" t="s">
        <v>11</v>
      </c>
      <c r="C5" s="5"/>
      <c r="D5" s="5"/>
      <c r="E5" s="7" t="s">
        <v>22</v>
      </c>
      <c r="F5" s="47">
        <v>1</v>
      </c>
      <c r="G5" s="9"/>
      <c r="H5" s="35" t="s">
        <v>12</v>
      </c>
      <c r="I5" s="5"/>
      <c r="J5" s="5"/>
      <c r="K5" s="5"/>
      <c r="L5" s="48" t="s">
        <v>48</v>
      </c>
      <c r="M5" s="49">
        <v>2</v>
      </c>
      <c r="N5" s="49">
        <v>2</v>
      </c>
      <c r="O5" s="50">
        <f>M5*N5</f>
        <v>4</v>
      </c>
      <c r="P5" s="51">
        <f>M5*M5/3</f>
        <v>1.3333333333333333</v>
      </c>
      <c r="Q5" s="50">
        <f>IF(O5&gt;P5,O5,P5)</f>
        <v>4</v>
      </c>
      <c r="R5" s="36" t="s">
        <v>35</v>
      </c>
      <c r="S5" s="5"/>
      <c r="T5" s="5"/>
      <c r="V5" s="22" t="s">
        <v>64</v>
      </c>
      <c r="W5" s="12">
        <f>$H$8</f>
        <v>18.43494882292201</v>
      </c>
      <c r="X5" s="9">
        <v>0</v>
      </c>
      <c r="Y5" s="9">
        <v>7.5</v>
      </c>
      <c r="Z5" s="9">
        <v>1.2</v>
      </c>
      <c r="AA5" s="9">
        <v>1.1</v>
      </c>
      <c r="AB5" s="60">
        <f>Z5+(AA5-Z5)*($W5-$X5)/($Y5-$X5)</f>
        <v>0.9542006823610402</v>
      </c>
      <c r="AC5" s="9">
        <v>-1.1</v>
      </c>
      <c r="AD5" s="9">
        <v>-1.2</v>
      </c>
      <c r="AE5" s="59">
        <f>AC5+(AD5-AC5)*($W5-$X5)/($Y5-$X5)</f>
        <v>-1.34579931763896</v>
      </c>
      <c r="AG5" s="22" t="s">
        <v>64</v>
      </c>
      <c r="AH5" s="12">
        <f>$H$8</f>
        <v>18.43494882292201</v>
      </c>
      <c r="AI5" s="9">
        <v>0</v>
      </c>
      <c r="AJ5" s="9">
        <v>7.5</v>
      </c>
      <c r="AK5" s="9">
        <v>1.8</v>
      </c>
      <c r="AL5" s="9">
        <v>1.7</v>
      </c>
      <c r="AM5" s="60">
        <f>AK5+(AL5-AK5)*($W5-$X5)/($Y5-$X5)</f>
        <v>1.5542006823610397</v>
      </c>
      <c r="AN5" s="9">
        <v>-1.7</v>
      </c>
      <c r="AO5" s="9">
        <v>-1.8</v>
      </c>
      <c r="AP5" s="59">
        <f>AN5+(AO5-AN5)*($W5-$X5)/($Y5-$X5)</f>
        <v>-1.9457993176389603</v>
      </c>
      <c r="AR5" s="22" t="s">
        <v>64</v>
      </c>
      <c r="AS5" s="12">
        <f>$H$8</f>
        <v>18.43494882292201</v>
      </c>
      <c r="AT5" s="9">
        <v>0</v>
      </c>
      <c r="AU5" s="9">
        <v>7.5</v>
      </c>
      <c r="AV5" s="9">
        <v>2.4</v>
      </c>
      <c r="AW5" s="9">
        <v>2.2</v>
      </c>
      <c r="AX5" s="60">
        <f>AV5+(AW5-AV5)*($W5-$X5)/($Y5-$X5)</f>
        <v>1.9084013647220803</v>
      </c>
      <c r="AY5" s="9">
        <v>-3.3</v>
      </c>
      <c r="AZ5" s="9">
        <v>-3.6</v>
      </c>
      <c r="BA5" s="59">
        <f>AY5+(AZ5-AY5)*($W5-$X5)/($Y5-$X5)</f>
        <v>-4.037397952916881</v>
      </c>
    </row>
    <row r="6" spans="1:53" ht="12.75">
      <c r="A6" s="5"/>
      <c r="B6" s="5" t="s">
        <v>14</v>
      </c>
      <c r="C6" s="5"/>
      <c r="D6" s="5"/>
      <c r="E6" s="7" t="s">
        <v>23</v>
      </c>
      <c r="F6" s="47">
        <v>0.85</v>
      </c>
      <c r="G6" s="9"/>
      <c r="H6" s="35" t="s">
        <v>15</v>
      </c>
      <c r="I6" s="5"/>
      <c r="J6" s="5"/>
      <c r="K6" s="5"/>
      <c r="L6" s="48" t="s">
        <v>82</v>
      </c>
      <c r="M6" s="48" t="s">
        <v>49</v>
      </c>
      <c r="N6" s="48" t="s">
        <v>49</v>
      </c>
      <c r="O6" s="48" t="s">
        <v>49</v>
      </c>
      <c r="P6" s="48" t="s">
        <v>49</v>
      </c>
      <c r="Q6" s="50">
        <f>C37</f>
        <v>9</v>
      </c>
      <c r="R6" s="36" t="s">
        <v>35</v>
      </c>
      <c r="S6" s="5"/>
      <c r="T6" s="5"/>
      <c r="V6" s="22" t="s">
        <v>65</v>
      </c>
      <c r="W6" s="12">
        <f>$H$8</f>
        <v>18.43494882292201</v>
      </c>
      <c r="X6" s="9">
        <v>7.5</v>
      </c>
      <c r="Y6" s="9">
        <v>15</v>
      </c>
      <c r="Z6" s="9">
        <v>1.1</v>
      </c>
      <c r="AA6" s="9">
        <v>1.1</v>
      </c>
      <c r="AB6" s="60">
        <f>Z6+(AA6-Z6)*($W6-$X6)/($Y6-$X6)</f>
        <v>1.1</v>
      </c>
      <c r="AC6" s="9">
        <v>-1.2</v>
      </c>
      <c r="AD6" s="9">
        <v>-1.1</v>
      </c>
      <c r="AE6" s="59">
        <f>AC6+(AD6-AC6)*($W6-$X6)/($Y6-$X6)</f>
        <v>-1.05420068236104</v>
      </c>
      <c r="AG6" s="22" t="s">
        <v>65</v>
      </c>
      <c r="AH6" s="12">
        <f>$H$8</f>
        <v>18.43494882292201</v>
      </c>
      <c r="AI6" s="9">
        <v>7.5</v>
      </c>
      <c r="AJ6" s="9">
        <v>15</v>
      </c>
      <c r="AK6" s="9">
        <v>1.7</v>
      </c>
      <c r="AL6" s="9">
        <v>1.7</v>
      </c>
      <c r="AM6" s="60">
        <f>AK6+(AL6-AK6)*($W6-$X6)/($Y6-$X6)</f>
        <v>1.7</v>
      </c>
      <c r="AN6" s="9">
        <v>-1.8</v>
      </c>
      <c r="AO6" s="9">
        <v>-1.7</v>
      </c>
      <c r="AP6" s="59">
        <f>AN6+(AO6-AN6)*($W6-$X6)/($Y6-$X6)</f>
        <v>-1.6542006823610398</v>
      </c>
      <c r="AR6" s="22" t="s">
        <v>65</v>
      </c>
      <c r="AS6" s="12">
        <f>$H$8</f>
        <v>18.43494882292201</v>
      </c>
      <c r="AT6" s="9">
        <v>7.5</v>
      </c>
      <c r="AU6" s="9">
        <v>15</v>
      </c>
      <c r="AV6" s="9">
        <v>2.2</v>
      </c>
      <c r="AW6" s="9">
        <v>2.2</v>
      </c>
      <c r="AX6" s="60">
        <f>AV6+(AW6-AV6)*($W6-$X6)/($Y6-$X6)</f>
        <v>2.2</v>
      </c>
      <c r="AY6" s="9">
        <v>-3.6</v>
      </c>
      <c r="AZ6" s="9">
        <v>-2.2</v>
      </c>
      <c r="BA6" s="59">
        <f>AY6+(AZ6-AY6)*($W6-$X6)/($Y6-$X6)</f>
        <v>-1.5588095530545583</v>
      </c>
    </row>
    <row r="7" spans="1:53" ht="12.75">
      <c r="A7" s="5"/>
      <c r="B7" s="5" t="s">
        <v>18</v>
      </c>
      <c r="C7" s="5"/>
      <c r="D7" s="5"/>
      <c r="E7" s="7" t="s">
        <v>19</v>
      </c>
      <c r="F7" s="34">
        <v>0.85</v>
      </c>
      <c r="G7" s="9"/>
      <c r="H7" s="35" t="s">
        <v>20</v>
      </c>
      <c r="I7" s="5"/>
      <c r="J7" s="5"/>
      <c r="K7" s="5"/>
      <c r="L7" s="48" t="s">
        <v>83</v>
      </c>
      <c r="M7" s="48" t="s">
        <v>49</v>
      </c>
      <c r="N7" s="48" t="s">
        <v>49</v>
      </c>
      <c r="O7" s="48" t="s">
        <v>49</v>
      </c>
      <c r="P7" s="48" t="s">
        <v>49</v>
      </c>
      <c r="Q7" s="51" t="str">
        <f>CONCATENATE("~",(C37+C38)/2)</f>
        <v>~22.5</v>
      </c>
      <c r="R7" s="36" t="s">
        <v>35</v>
      </c>
      <c r="S7" s="25"/>
      <c r="T7" s="5"/>
      <c r="V7" s="22" t="s">
        <v>91</v>
      </c>
      <c r="W7" s="12">
        <f>$H$8</f>
        <v>18.43494882292201</v>
      </c>
      <c r="X7" s="9">
        <v>15</v>
      </c>
      <c r="Y7" s="9">
        <v>30</v>
      </c>
      <c r="Z7" s="9">
        <v>1.1</v>
      </c>
      <c r="AA7" s="9">
        <v>1.3</v>
      </c>
      <c r="AB7" s="60">
        <f>Z7+(AA7-Z7)*($W7-$X7)/($Y7-$X7)</f>
        <v>1.1457993176389603</v>
      </c>
      <c r="AC7" s="9">
        <v>-1.1</v>
      </c>
      <c r="AD7" s="9">
        <v>-0.9</v>
      </c>
      <c r="AE7" s="59">
        <f>AC7+(AD7-AC7)*($W7-$X7)/($Y7-$X7)</f>
        <v>-1.05420068236104</v>
      </c>
      <c r="AG7" s="22" t="s">
        <v>91</v>
      </c>
      <c r="AH7" s="12">
        <f>$H$8</f>
        <v>18.43494882292201</v>
      </c>
      <c r="AI7" s="9">
        <v>15</v>
      </c>
      <c r="AJ7" s="9">
        <v>30</v>
      </c>
      <c r="AK7" s="9">
        <v>1.7</v>
      </c>
      <c r="AL7" s="9">
        <v>2</v>
      </c>
      <c r="AM7" s="60">
        <f>AK7+(AL7-AK7)*($W7-$X7)/($Y7-$X7)</f>
        <v>1.7686989764584402</v>
      </c>
      <c r="AN7" s="9">
        <v>-1.7</v>
      </c>
      <c r="AO7" s="9">
        <v>-1.4</v>
      </c>
      <c r="AP7" s="59">
        <f>AN7+(AO7-AN7)*($W7-$X7)/($Y7-$X7)</f>
        <v>-1.6313010235415597</v>
      </c>
      <c r="AR7" s="22" t="s">
        <v>91</v>
      </c>
      <c r="AS7" s="12">
        <f>$H$8</f>
        <v>18.43494882292201</v>
      </c>
      <c r="AT7" s="9">
        <v>15</v>
      </c>
      <c r="AU7" s="9">
        <v>30</v>
      </c>
      <c r="AV7" s="9">
        <v>2.2</v>
      </c>
      <c r="AW7" s="9">
        <v>2.6</v>
      </c>
      <c r="AX7" s="60">
        <f>AV7+(AW7-AV7)*($W7-$X7)/($Y7-$X7)</f>
        <v>2.2915986352779205</v>
      </c>
      <c r="AY7" s="9">
        <v>-2.2</v>
      </c>
      <c r="AZ7" s="9">
        <v>-1.8</v>
      </c>
      <c r="BA7" s="59">
        <f>AY7+(AZ7-AY7)*($W7-$X7)/($Y7-$X7)</f>
        <v>-2.10840136472208</v>
      </c>
    </row>
    <row r="8" spans="1:53" ht="12.75">
      <c r="A8" s="5"/>
      <c r="B8" s="5" t="s">
        <v>7</v>
      </c>
      <c r="C8" s="5"/>
      <c r="D8" s="5"/>
      <c r="E8" s="5"/>
      <c r="F8" s="69">
        <v>4</v>
      </c>
      <c r="G8" s="5" t="s">
        <v>8</v>
      </c>
      <c r="H8" s="8">
        <f>DEGREES(ATAN(F8/12))</f>
        <v>18.43494882292201</v>
      </c>
      <c r="I8" s="5" t="s">
        <v>21</v>
      </c>
      <c r="J8" s="5"/>
      <c r="K8" s="5"/>
      <c r="L8" s="48" t="s">
        <v>84</v>
      </c>
      <c r="M8" s="48" t="s">
        <v>49</v>
      </c>
      <c r="N8" s="48" t="s">
        <v>49</v>
      </c>
      <c r="O8" s="48" t="s">
        <v>49</v>
      </c>
      <c r="P8" s="48" t="s">
        <v>49</v>
      </c>
      <c r="Q8" s="50">
        <f>C38</f>
        <v>36</v>
      </c>
      <c r="R8" s="36" t="s">
        <v>35</v>
      </c>
      <c r="S8" s="16"/>
      <c r="T8" s="5"/>
      <c r="V8" s="23" t="s">
        <v>92</v>
      </c>
      <c r="W8" s="29">
        <f>$H$8</f>
        <v>18.43494882292201</v>
      </c>
      <c r="X8" s="24">
        <v>30</v>
      </c>
      <c r="Y8" s="24">
        <v>45</v>
      </c>
      <c r="Z8" s="24">
        <v>1.3</v>
      </c>
      <c r="AA8" s="24">
        <v>1.1</v>
      </c>
      <c r="AB8" s="61">
        <f>Z8+(AA8-Z8)*($W8-$X8)/($Y8-$X8)</f>
        <v>1.4542006823610398</v>
      </c>
      <c r="AC8" s="24">
        <v>-0.9</v>
      </c>
      <c r="AD8" s="24">
        <v>-0.8</v>
      </c>
      <c r="AE8" s="62">
        <f>AC8+(AD8-AC8)*($W8-$X8)/($Y8-$X8)</f>
        <v>-0.9771003411805199</v>
      </c>
      <c r="AG8" s="23" t="s">
        <v>92</v>
      </c>
      <c r="AH8" s="29">
        <f>$H$8</f>
        <v>18.43494882292201</v>
      </c>
      <c r="AI8" s="24">
        <v>30</v>
      </c>
      <c r="AJ8" s="24">
        <v>45</v>
      </c>
      <c r="AK8" s="24">
        <v>2</v>
      </c>
      <c r="AL8" s="24">
        <v>1.7</v>
      </c>
      <c r="AM8" s="61">
        <f>AK8+(AL8-AK8)*($W8-$X8)/($Y8-$X8)</f>
        <v>2.23130102354156</v>
      </c>
      <c r="AN8" s="24">
        <v>-1.4</v>
      </c>
      <c r="AO8" s="24">
        <v>-1.2</v>
      </c>
      <c r="AP8" s="62">
        <f>AN8+(AO8-AN8)*($W8-$X8)/($Y8-$X8)</f>
        <v>-1.5542006823610397</v>
      </c>
      <c r="AR8" s="23" t="s">
        <v>92</v>
      </c>
      <c r="AS8" s="29">
        <f>$H$8</f>
        <v>18.43494882292201</v>
      </c>
      <c r="AT8" s="24">
        <v>30</v>
      </c>
      <c r="AU8" s="24">
        <v>45</v>
      </c>
      <c r="AV8" s="24">
        <v>2.6</v>
      </c>
      <c r="AW8" s="24">
        <v>2.2</v>
      </c>
      <c r="AX8" s="61">
        <f>AV8+(AW8-AV8)*($W8-$X8)/($Y8-$X8)</f>
        <v>2.9084013647220797</v>
      </c>
      <c r="AY8" s="24">
        <v>-1.8</v>
      </c>
      <c r="AZ8" s="24">
        <v>-1.6</v>
      </c>
      <c r="BA8" s="62">
        <f>AY8+(AZ8-AY8)*($W8-$X8)/($Y8-$X8)</f>
        <v>-1.9542006823610398</v>
      </c>
    </row>
    <row r="9" spans="1:53" ht="12.75">
      <c r="A9" s="6"/>
      <c r="B9" s="5" t="s">
        <v>1</v>
      </c>
      <c r="C9" s="5"/>
      <c r="D9" s="5"/>
      <c r="E9" s="5"/>
      <c r="F9" s="70">
        <v>8</v>
      </c>
      <c r="G9" s="5" t="s">
        <v>3</v>
      </c>
      <c r="H9" s="6"/>
      <c r="I9" s="6"/>
      <c r="J9" s="6"/>
      <c r="K9" s="5"/>
      <c r="L9" s="48"/>
      <c r="M9" s="48"/>
      <c r="N9" s="48"/>
      <c r="O9" s="48"/>
      <c r="P9" s="50"/>
      <c r="Q9" s="50"/>
      <c r="R9" s="16"/>
      <c r="S9" s="16"/>
      <c r="T9" s="5"/>
      <c r="AB9" s="63">
        <f>IF($H$8&gt;30,AB8,IF($H$8&gt;15,AB7,IF($H$8&gt;7.5,AB6,AB5)))</f>
        <v>1.1457993176389603</v>
      </c>
      <c r="AE9" s="63">
        <f>IF($H$8&gt;30,AE8,IF($H$8&gt;15,AE7,IF($H$8&gt;7.5,AE6,AE5)))</f>
        <v>-1.05420068236104</v>
      </c>
      <c r="AM9" s="63">
        <f>IF($H$8&gt;30,AM8,IF($H$8&gt;15,AM7,IF($H$8&gt;7.5,AM6,AM5)))</f>
        <v>1.7686989764584402</v>
      </c>
      <c r="AP9" s="63">
        <f>IF($H$8&gt;30,AP8,IF($H$8&gt;15,AP7,IF($H$8&gt;7.5,AP6,AP5)))</f>
        <v>-1.6313010235415597</v>
      </c>
      <c r="AX9" s="63">
        <f>IF($H$8&gt;30,AX8,IF($H$8&gt;15,AX7,IF($H$8&gt;7.5,AX6,AX5)))</f>
        <v>2.2915986352779205</v>
      </c>
      <c r="BA9" s="63">
        <f>IF($H$8&gt;30,BA8,IF($H$8&gt;15,BA7,IF($H$8&gt;7.5,BA6,BA5)))</f>
        <v>-2.10840136472208</v>
      </c>
    </row>
    <row r="10" spans="1:20" ht="12.75">
      <c r="A10" s="5"/>
      <c r="B10" s="5" t="s">
        <v>2</v>
      </c>
      <c r="C10" s="5"/>
      <c r="D10" s="5"/>
      <c r="E10" s="5"/>
      <c r="F10" s="70">
        <v>11.5</v>
      </c>
      <c r="G10" s="5" t="s">
        <v>3</v>
      </c>
      <c r="H10" s="18" t="s">
        <v>27</v>
      </c>
      <c r="I10" s="5">
        <f>IF(F12="C",9.5,IF(F12="B",7,IF(F12="D",11.5,"Undefined")))</f>
        <v>9.5</v>
      </c>
      <c r="J10" s="5"/>
      <c r="K10" s="5"/>
      <c r="L10" s="35" t="s">
        <v>89</v>
      </c>
      <c r="M10" s="48"/>
      <c r="N10" s="48"/>
      <c r="O10" s="48"/>
      <c r="P10" s="50"/>
      <c r="Q10" s="50"/>
      <c r="R10" s="16"/>
      <c r="S10" s="16"/>
      <c r="T10" s="6"/>
    </row>
    <row r="11" spans="1:53" ht="12.75">
      <c r="A11" s="5"/>
      <c r="B11" s="5" t="s">
        <v>4</v>
      </c>
      <c r="C11" s="5"/>
      <c r="D11" s="5"/>
      <c r="E11" s="5"/>
      <c r="F11" s="10">
        <f>IF(H8&gt;10,(F9+F10)/2,F9)</f>
        <v>9.75</v>
      </c>
      <c r="G11" s="5" t="s">
        <v>3</v>
      </c>
      <c r="H11" s="5" t="s">
        <v>28</v>
      </c>
      <c r="I11" s="5">
        <f>IF(F12="C",900,IF(F12="B",1200,IF(F12="D",700,"Undefined")))</f>
        <v>900</v>
      </c>
      <c r="J11" s="5"/>
      <c r="K11" s="5"/>
      <c r="L11" s="48"/>
      <c r="M11" s="48"/>
      <c r="N11" s="48"/>
      <c r="O11" s="48"/>
      <c r="P11" s="50"/>
      <c r="Q11" s="50"/>
      <c r="R11" s="16"/>
      <c r="S11" s="16"/>
      <c r="T11" s="6"/>
      <c r="V11" s="30" t="s">
        <v>93</v>
      </c>
      <c r="W11" s="31"/>
      <c r="X11" s="31"/>
      <c r="Y11" s="31"/>
      <c r="Z11" s="67" t="s">
        <v>83</v>
      </c>
      <c r="AA11" s="31"/>
      <c r="AB11" s="31"/>
      <c r="AC11" s="32" t="s">
        <v>30</v>
      </c>
      <c r="AD11" s="31"/>
      <c r="AE11" s="33"/>
      <c r="AG11" s="30" t="s">
        <v>94</v>
      </c>
      <c r="AH11" s="31"/>
      <c r="AI11" s="31"/>
      <c r="AJ11" s="31"/>
      <c r="AK11" s="67" t="s">
        <v>83</v>
      </c>
      <c r="AL11" s="31"/>
      <c r="AM11" s="31"/>
      <c r="AN11" s="32" t="s">
        <v>30</v>
      </c>
      <c r="AO11" s="31"/>
      <c r="AP11" s="33"/>
      <c r="AR11" s="30" t="s">
        <v>95</v>
      </c>
      <c r="AS11" s="31"/>
      <c r="AT11" s="31"/>
      <c r="AU11" s="31"/>
      <c r="AV11" s="67" t="s">
        <v>83</v>
      </c>
      <c r="AW11" s="31"/>
      <c r="AX11" s="31"/>
      <c r="AY11" s="32" t="s">
        <v>30</v>
      </c>
      <c r="AZ11" s="31"/>
      <c r="BA11" s="33"/>
    </row>
    <row r="12" spans="1:53" ht="12.75">
      <c r="A12" s="5"/>
      <c r="B12" s="5" t="s">
        <v>5</v>
      </c>
      <c r="C12" s="5"/>
      <c r="D12" s="5"/>
      <c r="E12" s="5"/>
      <c r="F12" s="68" t="s">
        <v>37</v>
      </c>
      <c r="G12" s="5"/>
      <c r="H12" s="5"/>
      <c r="I12" s="5"/>
      <c r="J12" s="5"/>
      <c r="K12" s="5"/>
      <c r="L12" s="52" t="s">
        <v>86</v>
      </c>
      <c r="M12" s="48"/>
      <c r="N12" s="50"/>
      <c r="O12" s="50"/>
      <c r="P12" s="50"/>
      <c r="Q12" s="50"/>
      <c r="R12" s="16"/>
      <c r="S12" s="16"/>
      <c r="T12" s="6"/>
      <c r="V12" s="22" t="s">
        <v>33</v>
      </c>
      <c r="W12" s="9" t="s">
        <v>33</v>
      </c>
      <c r="X12" s="9" t="s">
        <v>66</v>
      </c>
      <c r="Y12" s="9" t="s">
        <v>67</v>
      </c>
      <c r="Z12" s="10" t="s">
        <v>68</v>
      </c>
      <c r="AA12" s="9" t="s">
        <v>70</v>
      </c>
      <c r="AB12" s="9" t="s">
        <v>72</v>
      </c>
      <c r="AC12" s="10" t="s">
        <v>71</v>
      </c>
      <c r="AD12" s="9" t="s">
        <v>69</v>
      </c>
      <c r="AE12" s="26" t="s">
        <v>74</v>
      </c>
      <c r="AG12" s="22" t="s">
        <v>33</v>
      </c>
      <c r="AH12" s="9" t="s">
        <v>33</v>
      </c>
      <c r="AI12" s="9" t="s">
        <v>66</v>
      </c>
      <c r="AJ12" s="9" t="s">
        <v>67</v>
      </c>
      <c r="AK12" s="10" t="s">
        <v>68</v>
      </c>
      <c r="AL12" s="9" t="s">
        <v>70</v>
      </c>
      <c r="AM12" s="9" t="s">
        <v>72</v>
      </c>
      <c r="AN12" s="10" t="s">
        <v>71</v>
      </c>
      <c r="AO12" s="9" t="s">
        <v>69</v>
      </c>
      <c r="AP12" s="26" t="s">
        <v>74</v>
      </c>
      <c r="AR12" s="22" t="s">
        <v>33</v>
      </c>
      <c r="AS12" s="9" t="s">
        <v>33</v>
      </c>
      <c r="AT12" s="9" t="s">
        <v>66</v>
      </c>
      <c r="AU12" s="9" t="s">
        <v>67</v>
      </c>
      <c r="AV12" s="10" t="s">
        <v>68</v>
      </c>
      <c r="AW12" s="9" t="s">
        <v>70</v>
      </c>
      <c r="AX12" s="9" t="s">
        <v>72</v>
      </c>
      <c r="AY12" s="10" t="s">
        <v>71</v>
      </c>
      <c r="AZ12" s="9" t="s">
        <v>69</v>
      </c>
      <c r="BA12" s="26" t="s">
        <v>74</v>
      </c>
    </row>
    <row r="13" spans="1:53" ht="12.75">
      <c r="A13" s="5"/>
      <c r="B13" s="5"/>
      <c r="C13" s="5"/>
      <c r="D13" s="5"/>
      <c r="E13" s="7"/>
      <c r="F13" s="8"/>
      <c r="G13" s="9"/>
      <c r="H13" s="5"/>
      <c r="I13" s="5"/>
      <c r="J13" s="5"/>
      <c r="K13" s="5"/>
      <c r="L13" s="44" t="s">
        <v>43</v>
      </c>
      <c r="M13" s="44" t="s">
        <v>46</v>
      </c>
      <c r="N13" s="45" t="s">
        <v>51</v>
      </c>
      <c r="O13" s="45" t="s">
        <v>52</v>
      </c>
      <c r="P13" s="45" t="s">
        <v>53</v>
      </c>
      <c r="Q13" s="45" t="s">
        <v>54</v>
      </c>
      <c r="R13" s="45" t="s">
        <v>55</v>
      </c>
      <c r="S13" s="45" t="s">
        <v>56</v>
      </c>
      <c r="T13" s="6"/>
      <c r="V13" s="22" t="s">
        <v>64</v>
      </c>
      <c r="W13" s="12">
        <f>$H$8</f>
        <v>18.43494882292201</v>
      </c>
      <c r="X13" s="9">
        <v>0</v>
      </c>
      <c r="Y13" s="9">
        <v>7.5</v>
      </c>
      <c r="Z13" s="9">
        <v>1.2</v>
      </c>
      <c r="AA13" s="9">
        <v>1.1</v>
      </c>
      <c r="AB13" s="60">
        <f>Z13+(AA13-Z13)*($W13-$X13)/($Y13-$X13)</f>
        <v>0.9542006823610402</v>
      </c>
      <c r="AC13" s="9">
        <v>-1.1</v>
      </c>
      <c r="AD13" s="9">
        <v>-1.2</v>
      </c>
      <c r="AE13" s="59">
        <f>AC13+(AD13-AC13)*($W13-$X13)/($Y13-$X13)</f>
        <v>-1.34579931763896</v>
      </c>
      <c r="AG13" s="22" t="s">
        <v>64</v>
      </c>
      <c r="AH13" s="12">
        <f>$H$8</f>
        <v>18.43494882292201</v>
      </c>
      <c r="AI13" s="9">
        <v>0</v>
      </c>
      <c r="AJ13" s="9">
        <v>7.5</v>
      </c>
      <c r="AK13" s="9">
        <v>1.8</v>
      </c>
      <c r="AL13" s="9">
        <v>1.7</v>
      </c>
      <c r="AM13" s="60">
        <f>AK13+(AL13-AK13)*($W13-$X13)/($Y13-$X13)</f>
        <v>1.5542006823610397</v>
      </c>
      <c r="AN13" s="9">
        <v>-1.7</v>
      </c>
      <c r="AO13" s="9">
        <v>-1.8</v>
      </c>
      <c r="AP13" s="59">
        <f>AN13+(AO13-AN13)*($W13-$X13)/($Y13-$X13)</f>
        <v>-1.9457993176389603</v>
      </c>
      <c r="AR13" s="22" t="s">
        <v>64</v>
      </c>
      <c r="AS13" s="12">
        <f>$H$8</f>
        <v>18.43494882292201</v>
      </c>
      <c r="AT13" s="9">
        <v>0</v>
      </c>
      <c r="AU13" s="9">
        <v>7.5</v>
      </c>
      <c r="AV13" s="9">
        <v>1.8</v>
      </c>
      <c r="AW13" s="9">
        <v>1.7</v>
      </c>
      <c r="AX13" s="60">
        <f>AV13+(AW13-AV13)*($W13-$X13)/($Y13-$X13)</f>
        <v>1.5542006823610397</v>
      </c>
      <c r="AY13" s="9">
        <v>-1.7</v>
      </c>
      <c r="AZ13" s="9">
        <v>-1.8</v>
      </c>
      <c r="BA13" s="59">
        <f>AY13+(AZ13-AY13)*($W13-$X13)/($Y13-$X13)</f>
        <v>-1.9457993176389603</v>
      </c>
    </row>
    <row r="14" spans="1:53" ht="12.75">
      <c r="A14" s="5"/>
      <c r="B14" s="6" t="s">
        <v>50</v>
      </c>
      <c r="C14" s="6"/>
      <c r="D14" s="6"/>
      <c r="E14" s="14"/>
      <c r="F14" s="3"/>
      <c r="G14" s="13"/>
      <c r="H14" s="17" t="s">
        <v>26</v>
      </c>
      <c r="I14" s="5"/>
      <c r="J14" s="5"/>
      <c r="K14" s="5"/>
      <c r="L14" s="48" t="s">
        <v>47</v>
      </c>
      <c r="M14" s="50">
        <f>Q4</f>
        <v>147</v>
      </c>
      <c r="N14" s="50">
        <f aca="true" t="shared" si="0" ref="N14:S14">IF($M14&gt;$M18,N18,IF($M14&lt;=$M16,N16,N17))</f>
        <v>1.1457993176389603</v>
      </c>
      <c r="O14" s="50">
        <f t="shared" si="0"/>
        <v>-1.05420068236104</v>
      </c>
      <c r="P14" s="50">
        <f t="shared" si="0"/>
        <v>1.1457993176389603</v>
      </c>
      <c r="Q14" s="50">
        <f t="shared" si="0"/>
        <v>-1.05420068236104</v>
      </c>
      <c r="R14" s="50">
        <f t="shared" si="0"/>
        <v>1.1457993176389603</v>
      </c>
      <c r="S14" s="50">
        <f t="shared" si="0"/>
        <v>-1.05420068236104</v>
      </c>
      <c r="T14" s="6"/>
      <c r="V14" s="22" t="s">
        <v>65</v>
      </c>
      <c r="W14" s="12">
        <f>$H$8</f>
        <v>18.43494882292201</v>
      </c>
      <c r="X14" s="9">
        <v>7.5</v>
      </c>
      <c r="Y14" s="9">
        <v>15</v>
      </c>
      <c r="Z14" s="9">
        <v>1.1</v>
      </c>
      <c r="AA14" s="9">
        <v>1.1</v>
      </c>
      <c r="AB14" s="60">
        <f>Z14+(AA14-Z14)*($W14-$X14)/($Y14-$X14)</f>
        <v>1.1</v>
      </c>
      <c r="AC14" s="9">
        <v>-1.2</v>
      </c>
      <c r="AD14" s="9">
        <v>-1.1</v>
      </c>
      <c r="AE14" s="59">
        <f>AC14+(AD14-AC14)*($W14-$X14)/($Y14-$X14)</f>
        <v>-1.05420068236104</v>
      </c>
      <c r="AG14" s="22" t="s">
        <v>65</v>
      </c>
      <c r="AH14" s="12">
        <f>$H$8</f>
        <v>18.43494882292201</v>
      </c>
      <c r="AI14" s="9">
        <v>7.5</v>
      </c>
      <c r="AJ14" s="9">
        <v>15</v>
      </c>
      <c r="AK14" s="9">
        <v>1.7</v>
      </c>
      <c r="AL14" s="9">
        <v>1.7</v>
      </c>
      <c r="AM14" s="60">
        <f>AK14+(AL14-AK14)*($W14-$X14)/($Y14-$X14)</f>
        <v>1.7</v>
      </c>
      <c r="AN14" s="9">
        <v>-1.8</v>
      </c>
      <c r="AO14" s="9">
        <v>-1.7</v>
      </c>
      <c r="AP14" s="59">
        <f>AN14+(AO14-AN14)*($W14-$X14)/($Y14-$X14)</f>
        <v>-1.6542006823610398</v>
      </c>
      <c r="AR14" s="22" t="s">
        <v>65</v>
      </c>
      <c r="AS14" s="12">
        <f>$H$8</f>
        <v>18.43494882292201</v>
      </c>
      <c r="AT14" s="9">
        <v>7.5</v>
      </c>
      <c r="AU14" s="9">
        <v>15</v>
      </c>
      <c r="AV14" s="9">
        <v>1.7</v>
      </c>
      <c r="AW14" s="9">
        <v>1.7</v>
      </c>
      <c r="AX14" s="60">
        <f>AV14+(AW14-AV14)*($W14-$X14)/($Y14-$X14)</f>
        <v>1.7</v>
      </c>
      <c r="AY14" s="9">
        <v>-1.8</v>
      </c>
      <c r="AZ14" s="9">
        <v>-1.7</v>
      </c>
      <c r="BA14" s="59">
        <f>AY14+(AZ14-AY14)*($W14-$X14)/($Y14-$X14)</f>
        <v>-1.6542006823610398</v>
      </c>
    </row>
    <row r="15" spans="1:53" ht="12.75">
      <c r="A15" s="5"/>
      <c r="B15" s="5" t="s">
        <v>16</v>
      </c>
      <c r="C15" s="5"/>
      <c r="D15" s="5"/>
      <c r="E15" s="5" t="s">
        <v>24</v>
      </c>
      <c r="F15" s="5" t="s">
        <v>25</v>
      </c>
      <c r="G15" s="7"/>
      <c r="H15" s="8"/>
      <c r="I15" s="9"/>
      <c r="J15" s="9"/>
      <c r="K15" s="5"/>
      <c r="L15" s="48" t="s">
        <v>48</v>
      </c>
      <c r="M15" s="50">
        <f>Q5</f>
        <v>4</v>
      </c>
      <c r="N15" s="50">
        <f aca="true" t="shared" si="1" ref="N15:S15">IF($M15&gt;$M18,N18,IF($M15&lt;=$M16,N16,N17))</f>
        <v>1.1457993176389603</v>
      </c>
      <c r="O15" s="50">
        <f t="shared" si="1"/>
        <v>-1.05420068236104</v>
      </c>
      <c r="P15" s="50">
        <f t="shared" si="1"/>
        <v>1.7686989764584402</v>
      </c>
      <c r="Q15" s="50">
        <f t="shared" si="1"/>
        <v>-1.6313010235415597</v>
      </c>
      <c r="R15" s="50">
        <f t="shared" si="1"/>
        <v>2.2915986352779205</v>
      </c>
      <c r="S15" s="50">
        <f t="shared" si="1"/>
        <v>-2.10840136472208</v>
      </c>
      <c r="T15" s="5"/>
      <c r="V15" s="22" t="s">
        <v>91</v>
      </c>
      <c r="W15" s="12">
        <f>$H$8</f>
        <v>18.43494882292201</v>
      </c>
      <c r="X15" s="9">
        <v>15</v>
      </c>
      <c r="Y15" s="9">
        <v>30</v>
      </c>
      <c r="Z15" s="9">
        <v>1.1</v>
      </c>
      <c r="AA15" s="9">
        <v>1.3</v>
      </c>
      <c r="AB15" s="60">
        <f>Z15+(AA15-Z15)*($W15-$X15)/($Y15-$X15)</f>
        <v>1.1457993176389603</v>
      </c>
      <c r="AC15" s="9">
        <v>-1.1</v>
      </c>
      <c r="AD15" s="9">
        <v>-0.9</v>
      </c>
      <c r="AE15" s="59">
        <f>AC15+(AD15-AC15)*($W15-$X15)/($Y15-$X15)</f>
        <v>-1.05420068236104</v>
      </c>
      <c r="AG15" s="22" t="s">
        <v>91</v>
      </c>
      <c r="AH15" s="12">
        <f>$H$8</f>
        <v>18.43494882292201</v>
      </c>
      <c r="AI15" s="9">
        <v>15</v>
      </c>
      <c r="AJ15" s="9">
        <v>30</v>
      </c>
      <c r="AK15" s="9">
        <v>1.7</v>
      </c>
      <c r="AL15" s="9">
        <v>2</v>
      </c>
      <c r="AM15" s="60">
        <f>AK15+(AL15-AK15)*($W15-$X15)/($Y15-$X15)</f>
        <v>1.7686989764584402</v>
      </c>
      <c r="AN15" s="9">
        <v>-1.7</v>
      </c>
      <c r="AO15" s="9">
        <v>-1.4</v>
      </c>
      <c r="AP15" s="59">
        <f>AN15+(AO15-AN15)*($W15-$X15)/($Y15-$X15)</f>
        <v>-1.6313010235415597</v>
      </c>
      <c r="AR15" s="22" t="s">
        <v>91</v>
      </c>
      <c r="AS15" s="12">
        <f>$H$8</f>
        <v>18.43494882292201</v>
      </c>
      <c r="AT15" s="9">
        <v>15</v>
      </c>
      <c r="AU15" s="9">
        <v>30</v>
      </c>
      <c r="AV15" s="9">
        <v>1.7</v>
      </c>
      <c r="AW15" s="9">
        <v>2</v>
      </c>
      <c r="AX15" s="60">
        <f>AV15+(AW15-AV15)*($W15-$X15)/($Y15-$X15)</f>
        <v>1.7686989764584402</v>
      </c>
      <c r="AY15" s="9">
        <v>-1.7</v>
      </c>
      <c r="AZ15" s="9">
        <v>-1.4</v>
      </c>
      <c r="BA15" s="59">
        <f>AY15+(AZ15-AY15)*($W15-$X15)/($Y15-$X15)</f>
        <v>-1.6313010235415597</v>
      </c>
    </row>
    <row r="16" spans="1:53" ht="12.75">
      <c r="A16" s="5"/>
      <c r="B16" s="5" t="s">
        <v>17</v>
      </c>
      <c r="C16" s="20">
        <f>F11</f>
        <v>9.75</v>
      </c>
      <c r="D16" s="5" t="s">
        <v>3</v>
      </c>
      <c r="E16" s="19">
        <f>IF(F12="B",IF(C16&lt;30,2.01*(30/$I$11)^(2/$I$10),2.01*(C16/$I$11)^(2/$I$10)),IF(C16&lt;15,2.01*(15/$I$11)^(2/$I$10),2.01*(C16/$I$11)^(2/$I$10)))</f>
        <v>0.8488841520779031</v>
      </c>
      <c r="F16" s="27">
        <f>0.00256*E16*$F$5*$F$6*$F$4*$F$4</f>
        <v>33.66470814944465</v>
      </c>
      <c r="G16" s="28">
        <f>IF(H8&gt;10,"","(h = he for θ ≤ 10 degrees)")</f>
      </c>
      <c r="H16" s="17" t="s">
        <v>73</v>
      </c>
      <c r="I16" s="9"/>
      <c r="J16" s="9"/>
      <c r="K16" s="5"/>
      <c r="L16" s="48" t="s">
        <v>82</v>
      </c>
      <c r="M16" s="50">
        <f>Q6</f>
        <v>9</v>
      </c>
      <c r="N16" s="50">
        <f>AB9</f>
        <v>1.1457993176389603</v>
      </c>
      <c r="O16" s="50">
        <f>AE9</f>
        <v>-1.05420068236104</v>
      </c>
      <c r="P16" s="50">
        <f>AM9</f>
        <v>1.7686989764584402</v>
      </c>
      <c r="Q16" s="50">
        <f>AP9</f>
        <v>-1.6313010235415597</v>
      </c>
      <c r="R16" s="50">
        <f>AX9</f>
        <v>2.2915986352779205</v>
      </c>
      <c r="S16" s="50">
        <f>BA9</f>
        <v>-2.10840136472208</v>
      </c>
      <c r="T16" s="5"/>
      <c r="V16" s="23" t="s">
        <v>92</v>
      </c>
      <c r="W16" s="29">
        <f>$H$8</f>
        <v>18.43494882292201</v>
      </c>
      <c r="X16" s="24">
        <v>30</v>
      </c>
      <c r="Y16" s="24">
        <v>45</v>
      </c>
      <c r="Z16" s="24">
        <v>1.3</v>
      </c>
      <c r="AA16" s="24">
        <v>1.1</v>
      </c>
      <c r="AB16" s="61">
        <f>Z16+(AA16-Z16)*($W16-$X16)/($Y16-$X16)</f>
        <v>1.4542006823610398</v>
      </c>
      <c r="AC16" s="24">
        <v>-0.9</v>
      </c>
      <c r="AD16" s="24">
        <v>-0.8</v>
      </c>
      <c r="AE16" s="62">
        <f>AC16+(AD16-AC16)*($W16-$X16)/($Y16-$X16)</f>
        <v>-0.9771003411805199</v>
      </c>
      <c r="AG16" s="23" t="s">
        <v>92</v>
      </c>
      <c r="AH16" s="29">
        <f>$H$8</f>
        <v>18.43494882292201</v>
      </c>
      <c r="AI16" s="24">
        <v>30</v>
      </c>
      <c r="AJ16" s="24">
        <v>45</v>
      </c>
      <c r="AK16" s="24">
        <v>2</v>
      </c>
      <c r="AL16" s="24">
        <v>1.7</v>
      </c>
      <c r="AM16" s="61">
        <f>AK16+(AL16-AK16)*($W16-$X16)/($Y16-$X16)</f>
        <v>2.23130102354156</v>
      </c>
      <c r="AN16" s="24">
        <v>-1.4</v>
      </c>
      <c r="AO16" s="24">
        <v>-1.2</v>
      </c>
      <c r="AP16" s="62">
        <f>AN16+(AO16-AN16)*($W16-$X16)/($Y16-$X16)</f>
        <v>-1.5542006823610397</v>
      </c>
      <c r="AR16" s="23" t="s">
        <v>92</v>
      </c>
      <c r="AS16" s="29">
        <f>$H$8</f>
        <v>18.43494882292201</v>
      </c>
      <c r="AT16" s="24">
        <v>30</v>
      </c>
      <c r="AU16" s="24">
        <v>45</v>
      </c>
      <c r="AV16" s="24">
        <v>2</v>
      </c>
      <c r="AW16" s="24">
        <v>1.7</v>
      </c>
      <c r="AX16" s="61">
        <f>AV16+(AW16-AV16)*($W16-$X16)/($Y16-$X16)</f>
        <v>2.23130102354156</v>
      </c>
      <c r="AY16" s="24">
        <v>-1.4</v>
      </c>
      <c r="AZ16" s="24">
        <v>-1.2</v>
      </c>
      <c r="BA16" s="62">
        <f>AY16+(AZ16-AY16)*($W16-$X16)/($Y16-$X16)</f>
        <v>-1.5542006823610397</v>
      </c>
    </row>
    <row r="17" spans="1:53" ht="12.75">
      <c r="A17" s="5"/>
      <c r="B17" s="5"/>
      <c r="C17" s="5"/>
      <c r="D17" s="5"/>
      <c r="E17" s="7"/>
      <c r="F17" s="8"/>
      <c r="G17" s="9"/>
      <c r="H17" s="5"/>
      <c r="I17" s="5"/>
      <c r="J17" s="5"/>
      <c r="K17" s="5"/>
      <c r="L17" s="48" t="s">
        <v>83</v>
      </c>
      <c r="M17" s="50" t="str">
        <f>Q7</f>
        <v>~22.5</v>
      </c>
      <c r="N17" s="50">
        <f>AB17</f>
        <v>1.1457993176389603</v>
      </c>
      <c r="O17" s="50">
        <f>AE17</f>
        <v>-1.05420068236104</v>
      </c>
      <c r="P17" s="50">
        <f>AM17</f>
        <v>1.7686989764584402</v>
      </c>
      <c r="Q17" s="50">
        <f>AP17</f>
        <v>-1.6313010235415597</v>
      </c>
      <c r="R17" s="50">
        <f>AX17</f>
        <v>1.7686989764584402</v>
      </c>
      <c r="S17" s="50">
        <f>BA17</f>
        <v>-1.6313010235415597</v>
      </c>
      <c r="T17" s="5"/>
      <c r="AB17" s="63">
        <f>IF($H$8&gt;30,AB16,IF($H$8&gt;15,AB15,IF($H$8&gt;7.5,AB14,AB13)))</f>
        <v>1.1457993176389603</v>
      </c>
      <c r="AE17" s="63">
        <f>IF($H$8&gt;30,AE16,IF($H$8&gt;15,AE15,IF($H$8&gt;7.5,AE14,AE13)))</f>
        <v>-1.05420068236104</v>
      </c>
      <c r="AM17" s="63">
        <f>IF($H$8&gt;30,AM16,IF($H$8&gt;15,AM15,IF($H$8&gt;7.5,AM14,AM13)))</f>
        <v>1.7686989764584402</v>
      </c>
      <c r="AP17" s="63">
        <f>IF($H$8&gt;30,AP16,IF($H$8&gt;15,AP15,IF($H$8&gt;7.5,AP14,AP13)))</f>
        <v>-1.6313010235415597</v>
      </c>
      <c r="AX17" s="63">
        <f>IF($H$8&gt;30,AX16,IF($H$8&gt;15,AX15,IF($H$8&gt;7.5,AX14,AX13)))</f>
        <v>1.7686989764584402</v>
      </c>
      <c r="BA17" s="63">
        <f>IF($H$8&gt;30,BA16,IF($H$8&gt;15,BA15,IF($H$8&gt;7.5,BA14,BA13)))</f>
        <v>-1.6313010235415597</v>
      </c>
    </row>
    <row r="18" spans="1:20" ht="12.75">
      <c r="A18" s="5"/>
      <c r="B18" s="48"/>
      <c r="C18" s="48"/>
      <c r="D18" s="48"/>
      <c r="E18" s="48"/>
      <c r="F18" s="50"/>
      <c r="G18" s="50"/>
      <c r="H18" s="16"/>
      <c r="I18" s="16"/>
      <c r="J18" s="5"/>
      <c r="K18" s="5"/>
      <c r="L18" s="48" t="s">
        <v>84</v>
      </c>
      <c r="M18" s="50">
        <f>Q8</f>
        <v>36</v>
      </c>
      <c r="N18" s="50">
        <f>AB25</f>
        <v>1.1457993176389603</v>
      </c>
      <c r="O18" s="50">
        <f>AE25</f>
        <v>-1.05420068236104</v>
      </c>
      <c r="P18" s="50">
        <f>AM25</f>
        <v>1.1457993176389603</v>
      </c>
      <c r="Q18" s="50">
        <f>AP25</f>
        <v>-1.05420068236104</v>
      </c>
      <c r="R18" s="50">
        <f>AX25</f>
        <v>1.1457993176389603</v>
      </c>
      <c r="S18" s="50">
        <f>BA25</f>
        <v>-1.05420068236104</v>
      </c>
      <c r="T18" s="5"/>
    </row>
    <row r="19" spans="1:53" ht="12.75">
      <c r="A19" s="5"/>
      <c r="B19" s="48"/>
      <c r="C19" s="48"/>
      <c r="D19" s="48"/>
      <c r="E19" s="48"/>
      <c r="F19" s="50"/>
      <c r="G19" s="50"/>
      <c r="H19" s="16"/>
      <c r="I19" s="16"/>
      <c r="J19" s="5"/>
      <c r="K19" s="5"/>
      <c r="T19" s="5"/>
      <c r="V19" s="30" t="s">
        <v>93</v>
      </c>
      <c r="W19" s="31"/>
      <c r="X19" s="31"/>
      <c r="Y19" s="31"/>
      <c r="Z19" s="67" t="s">
        <v>84</v>
      </c>
      <c r="AA19" s="31"/>
      <c r="AB19" s="31"/>
      <c r="AC19" s="32" t="s">
        <v>30</v>
      </c>
      <c r="AD19" s="31"/>
      <c r="AE19" s="33"/>
      <c r="AG19" s="30" t="s">
        <v>94</v>
      </c>
      <c r="AH19" s="31"/>
      <c r="AI19" s="31"/>
      <c r="AJ19" s="31"/>
      <c r="AK19" s="67" t="s">
        <v>84</v>
      </c>
      <c r="AL19" s="31"/>
      <c r="AM19" s="31"/>
      <c r="AN19" s="32" t="s">
        <v>30</v>
      </c>
      <c r="AO19" s="31"/>
      <c r="AP19" s="33"/>
      <c r="AR19" s="30" t="s">
        <v>95</v>
      </c>
      <c r="AS19" s="31"/>
      <c r="AT19" s="31"/>
      <c r="AU19" s="31"/>
      <c r="AV19" s="67" t="s">
        <v>84</v>
      </c>
      <c r="AW19" s="31"/>
      <c r="AX19" s="31"/>
      <c r="AY19" s="32" t="s">
        <v>30</v>
      </c>
      <c r="AZ19" s="31"/>
      <c r="BA19" s="33"/>
    </row>
    <row r="20" spans="1:53" ht="12.75">
      <c r="A20" s="5"/>
      <c r="B20" s="48"/>
      <c r="C20" s="48"/>
      <c r="D20" s="48"/>
      <c r="E20" s="48"/>
      <c r="F20" s="50"/>
      <c r="G20" s="50"/>
      <c r="H20" s="16"/>
      <c r="I20" s="16"/>
      <c r="J20" s="5"/>
      <c r="K20" s="5"/>
      <c r="T20" s="5"/>
      <c r="V20" s="22" t="s">
        <v>33</v>
      </c>
      <c r="W20" s="9" t="s">
        <v>33</v>
      </c>
      <c r="X20" s="9" t="s">
        <v>66</v>
      </c>
      <c r="Y20" s="9" t="s">
        <v>67</v>
      </c>
      <c r="Z20" s="10" t="s">
        <v>68</v>
      </c>
      <c r="AA20" s="9" t="s">
        <v>70</v>
      </c>
      <c r="AB20" s="9" t="s">
        <v>72</v>
      </c>
      <c r="AC20" s="10" t="s">
        <v>71</v>
      </c>
      <c r="AD20" s="9" t="s">
        <v>69</v>
      </c>
      <c r="AE20" s="26" t="s">
        <v>74</v>
      </c>
      <c r="AG20" s="22" t="s">
        <v>33</v>
      </c>
      <c r="AH20" s="9" t="s">
        <v>33</v>
      </c>
      <c r="AI20" s="9" t="s">
        <v>66</v>
      </c>
      <c r="AJ20" s="9" t="s">
        <v>67</v>
      </c>
      <c r="AK20" s="10" t="s">
        <v>68</v>
      </c>
      <c r="AL20" s="9" t="s">
        <v>70</v>
      </c>
      <c r="AM20" s="9" t="s">
        <v>72</v>
      </c>
      <c r="AN20" s="10" t="s">
        <v>71</v>
      </c>
      <c r="AO20" s="9" t="s">
        <v>69</v>
      </c>
      <c r="AP20" s="26" t="s">
        <v>74</v>
      </c>
      <c r="AR20" s="22" t="s">
        <v>33</v>
      </c>
      <c r="AS20" s="9" t="s">
        <v>33</v>
      </c>
      <c r="AT20" s="9" t="s">
        <v>66</v>
      </c>
      <c r="AU20" s="9" t="s">
        <v>67</v>
      </c>
      <c r="AV20" s="10" t="s">
        <v>68</v>
      </c>
      <c r="AW20" s="9" t="s">
        <v>70</v>
      </c>
      <c r="AX20" s="9" t="s">
        <v>72</v>
      </c>
      <c r="AY20" s="10" t="s">
        <v>71</v>
      </c>
      <c r="AZ20" s="9" t="s">
        <v>69</v>
      </c>
      <c r="BA20" s="26" t="s">
        <v>74</v>
      </c>
    </row>
    <row r="21" spans="1:53" ht="12.75">
      <c r="A21" s="5"/>
      <c r="B21" s="48"/>
      <c r="C21" s="48"/>
      <c r="D21" s="48"/>
      <c r="E21" s="48"/>
      <c r="F21" s="50"/>
      <c r="G21" s="50"/>
      <c r="H21" s="16"/>
      <c r="I21" s="16"/>
      <c r="J21" s="5"/>
      <c r="K21" s="5"/>
      <c r="L21" s="52" t="s">
        <v>88</v>
      </c>
      <c r="M21" s="48"/>
      <c r="P21" s="48" t="s">
        <v>57</v>
      </c>
      <c r="Q21" s="46"/>
      <c r="R21" s="17" t="s">
        <v>73</v>
      </c>
      <c r="S21" s="16"/>
      <c r="T21" s="5"/>
      <c r="V21" s="22" t="s">
        <v>64</v>
      </c>
      <c r="W21" s="12">
        <f>$H$8</f>
        <v>18.43494882292201</v>
      </c>
      <c r="X21" s="9">
        <v>0</v>
      </c>
      <c r="Y21" s="9">
        <v>7.5</v>
      </c>
      <c r="Z21" s="9">
        <v>1.2</v>
      </c>
      <c r="AA21" s="9">
        <v>1.1</v>
      </c>
      <c r="AB21" s="60">
        <f>Z21+(AA21-Z21)*($W21-$X21)/($Y21-$X21)</f>
        <v>0.9542006823610402</v>
      </c>
      <c r="AC21" s="9">
        <v>-1.1</v>
      </c>
      <c r="AD21" s="9">
        <v>-1.2</v>
      </c>
      <c r="AE21" s="59">
        <f>AC21+(AD21-AC21)*($W21-$X21)/($Y21-$X21)</f>
        <v>-1.34579931763896</v>
      </c>
      <c r="AG21" s="22" t="s">
        <v>64</v>
      </c>
      <c r="AH21" s="12">
        <f>$H$8</f>
        <v>18.43494882292201</v>
      </c>
      <c r="AI21" s="9">
        <v>0</v>
      </c>
      <c r="AJ21" s="9">
        <v>7.5</v>
      </c>
      <c r="AK21" s="9">
        <v>1.2</v>
      </c>
      <c r="AL21" s="9">
        <v>1.1</v>
      </c>
      <c r="AM21" s="60">
        <f>AK21+(AL21-AK21)*($W21-$X21)/($Y21-$X21)</f>
        <v>0.9542006823610402</v>
      </c>
      <c r="AN21" s="9">
        <v>-1.1</v>
      </c>
      <c r="AO21" s="9">
        <v>-1.2</v>
      </c>
      <c r="AP21" s="59">
        <f>AN21+(AO21-AN21)*($W21-$X21)/($Y21-$X21)</f>
        <v>-1.34579931763896</v>
      </c>
      <c r="AR21" s="22" t="s">
        <v>64</v>
      </c>
      <c r="AS21" s="12">
        <f>$H$8</f>
        <v>18.43494882292201</v>
      </c>
      <c r="AT21" s="9">
        <v>0</v>
      </c>
      <c r="AU21" s="9">
        <v>7.5</v>
      </c>
      <c r="AV21" s="9">
        <v>1.2</v>
      </c>
      <c r="AW21" s="9">
        <v>1.1</v>
      </c>
      <c r="AX21" s="60">
        <f>AV21+(AW21-AV21)*($W21-$X21)/($Y21-$X21)</f>
        <v>0.9542006823610402</v>
      </c>
      <c r="AY21" s="9">
        <v>-1.1</v>
      </c>
      <c r="AZ21" s="9">
        <v>-1.2</v>
      </c>
      <c r="BA21" s="59">
        <f>AY21+(AZ21-AY21)*($W21-$X21)/($Y21-$X21)</f>
        <v>-1.34579931763896</v>
      </c>
    </row>
    <row r="22" spans="1:53" ht="12.75">
      <c r="A22" s="5"/>
      <c r="B22" s="48"/>
      <c r="C22" s="48"/>
      <c r="D22" s="48"/>
      <c r="E22" s="48"/>
      <c r="F22" s="50"/>
      <c r="G22" s="50"/>
      <c r="H22" s="16"/>
      <c r="I22" s="16"/>
      <c r="J22" s="25"/>
      <c r="K22" s="5"/>
      <c r="L22" s="44" t="s">
        <v>43</v>
      </c>
      <c r="M22" s="44" t="s">
        <v>46</v>
      </c>
      <c r="N22" s="45" t="s">
        <v>51</v>
      </c>
      <c r="O22" s="45" t="s">
        <v>52</v>
      </c>
      <c r="P22" s="45" t="s">
        <v>53</v>
      </c>
      <c r="Q22" s="45" t="s">
        <v>54</v>
      </c>
      <c r="R22" s="45" t="s">
        <v>55</v>
      </c>
      <c r="S22" s="45" t="s">
        <v>56</v>
      </c>
      <c r="T22" s="5"/>
      <c r="V22" s="22" t="s">
        <v>65</v>
      </c>
      <c r="W22" s="12">
        <f>$H$8</f>
        <v>18.43494882292201</v>
      </c>
      <c r="X22" s="9">
        <v>7.5</v>
      </c>
      <c r="Y22" s="9">
        <v>15</v>
      </c>
      <c r="Z22" s="9">
        <v>1.1</v>
      </c>
      <c r="AA22" s="9">
        <v>1.1</v>
      </c>
      <c r="AB22" s="60">
        <f>Z22+(AA22-Z22)*($W22-$X22)/($Y22-$X22)</f>
        <v>1.1</v>
      </c>
      <c r="AC22" s="9">
        <v>-1.2</v>
      </c>
      <c r="AD22" s="9">
        <v>-1.1</v>
      </c>
      <c r="AE22" s="59">
        <f>AC22+(AD22-AC22)*($W22-$X22)/($Y22-$X22)</f>
        <v>-1.05420068236104</v>
      </c>
      <c r="AG22" s="22" t="s">
        <v>65</v>
      </c>
      <c r="AH22" s="12">
        <f>$H$8</f>
        <v>18.43494882292201</v>
      </c>
      <c r="AI22" s="9">
        <v>7.5</v>
      </c>
      <c r="AJ22" s="9">
        <v>15</v>
      </c>
      <c r="AK22" s="9">
        <v>1.1</v>
      </c>
      <c r="AL22" s="9">
        <v>1.1</v>
      </c>
      <c r="AM22" s="60">
        <f>AK22+(AL22-AK22)*($W22-$X22)/($Y22-$X22)</f>
        <v>1.1</v>
      </c>
      <c r="AN22" s="9">
        <v>-1.2</v>
      </c>
      <c r="AO22" s="9">
        <v>-1.1</v>
      </c>
      <c r="AP22" s="59">
        <f>AN22+(AO22-AN22)*($W22-$X22)/($Y22-$X22)</f>
        <v>-1.05420068236104</v>
      </c>
      <c r="AR22" s="22" t="s">
        <v>65</v>
      </c>
      <c r="AS22" s="12">
        <f>$H$8</f>
        <v>18.43494882292201</v>
      </c>
      <c r="AT22" s="9">
        <v>7.5</v>
      </c>
      <c r="AU22" s="9">
        <v>15</v>
      </c>
      <c r="AV22" s="9">
        <v>1.1</v>
      </c>
      <c r="AW22" s="9">
        <v>1.1</v>
      </c>
      <c r="AX22" s="60">
        <f>AV22+(AW22-AV22)*($W22-$X22)/($Y22-$X22)</f>
        <v>1.1</v>
      </c>
      <c r="AY22" s="9">
        <v>-1.2</v>
      </c>
      <c r="AZ22" s="9">
        <v>-1.1</v>
      </c>
      <c r="BA22" s="59">
        <f>AY22+(AZ22-AY22)*($W22-$X22)/($Y22-$X22)</f>
        <v>-1.05420068236104</v>
      </c>
    </row>
    <row r="23" spans="1:53" ht="12.75">
      <c r="A23" s="5"/>
      <c r="B23" s="48"/>
      <c r="C23" s="48"/>
      <c r="D23" s="48"/>
      <c r="E23" s="48"/>
      <c r="F23" s="50"/>
      <c r="G23" s="50"/>
      <c r="H23" s="16"/>
      <c r="I23" s="16"/>
      <c r="J23" s="16"/>
      <c r="K23" s="5"/>
      <c r="L23" s="48" t="s">
        <v>47</v>
      </c>
      <c r="M23" s="50">
        <f>Q4</f>
        <v>147</v>
      </c>
      <c r="N23" s="53">
        <f aca="true" t="shared" si="2" ref="N23:S23">$F$16*N14*$F$7</f>
        <v>32.78704968222616</v>
      </c>
      <c r="O23" s="53">
        <f t="shared" si="2"/>
        <v>-30.165954557235338</v>
      </c>
      <c r="P23" s="53">
        <f t="shared" si="2"/>
        <v>32.78704968222616</v>
      </c>
      <c r="Q23" s="53">
        <f t="shared" si="2"/>
        <v>-30.165954557235338</v>
      </c>
      <c r="R23" s="53">
        <f t="shared" si="2"/>
        <v>32.78704968222616</v>
      </c>
      <c r="S23" s="53">
        <f t="shared" si="2"/>
        <v>-30.165954557235338</v>
      </c>
      <c r="T23" s="5"/>
      <c r="V23" s="22" t="s">
        <v>91</v>
      </c>
      <c r="W23" s="12">
        <f>$H$8</f>
        <v>18.43494882292201</v>
      </c>
      <c r="X23" s="9">
        <v>15</v>
      </c>
      <c r="Y23" s="9">
        <v>30</v>
      </c>
      <c r="Z23" s="9">
        <v>1.1</v>
      </c>
      <c r="AA23" s="9">
        <v>1.3</v>
      </c>
      <c r="AB23" s="60">
        <f>Z23+(AA23-Z23)*($W23-$X23)/($Y23-$X23)</f>
        <v>1.1457993176389603</v>
      </c>
      <c r="AC23" s="9">
        <v>-1.1</v>
      </c>
      <c r="AD23" s="9">
        <v>-0.9</v>
      </c>
      <c r="AE23" s="59">
        <f>AC23+(AD23-AC23)*($W23-$X23)/($Y23-$X23)</f>
        <v>-1.05420068236104</v>
      </c>
      <c r="AG23" s="22" t="s">
        <v>91</v>
      </c>
      <c r="AH23" s="12">
        <f>$H$8</f>
        <v>18.43494882292201</v>
      </c>
      <c r="AI23" s="9">
        <v>15</v>
      </c>
      <c r="AJ23" s="9">
        <v>30</v>
      </c>
      <c r="AK23" s="9">
        <v>1.1</v>
      </c>
      <c r="AL23" s="9">
        <v>1.3</v>
      </c>
      <c r="AM23" s="60">
        <f>AK23+(AL23-AK23)*($W23-$X23)/($Y23-$X23)</f>
        <v>1.1457993176389603</v>
      </c>
      <c r="AN23" s="9">
        <v>-1.1</v>
      </c>
      <c r="AO23" s="9">
        <v>-0.9</v>
      </c>
      <c r="AP23" s="59">
        <f>AN23+(AO23-AN23)*($W23-$X23)/($Y23-$X23)</f>
        <v>-1.05420068236104</v>
      </c>
      <c r="AR23" s="22" t="s">
        <v>91</v>
      </c>
      <c r="AS23" s="12">
        <f>$H$8</f>
        <v>18.43494882292201</v>
      </c>
      <c r="AT23" s="9">
        <v>15</v>
      </c>
      <c r="AU23" s="9">
        <v>30</v>
      </c>
      <c r="AV23" s="9">
        <v>1.1</v>
      </c>
      <c r="AW23" s="9">
        <v>1.3</v>
      </c>
      <c r="AX23" s="60">
        <f>AV23+(AW23-AV23)*($W23-$X23)/($Y23-$X23)</f>
        <v>1.1457993176389603</v>
      </c>
      <c r="AY23" s="9">
        <v>-1.1</v>
      </c>
      <c r="AZ23" s="9">
        <v>-0.9</v>
      </c>
      <c r="BA23" s="59">
        <f>AY23+(AZ23-AY23)*($W23-$X23)/($Y23-$X23)</f>
        <v>-1.05420068236104</v>
      </c>
    </row>
    <row r="24" spans="1:53" ht="12.75">
      <c r="A24" s="5"/>
      <c r="B24" s="48"/>
      <c r="C24" s="48"/>
      <c r="D24" s="48"/>
      <c r="E24" s="48"/>
      <c r="F24" s="50"/>
      <c r="G24" s="50"/>
      <c r="H24" s="16"/>
      <c r="I24" s="16"/>
      <c r="J24" s="16"/>
      <c r="K24" s="5"/>
      <c r="L24" s="48" t="s">
        <v>48</v>
      </c>
      <c r="M24" s="50">
        <f>Q5</f>
        <v>4</v>
      </c>
      <c r="N24" s="53">
        <f aca="true" t="shared" si="3" ref="N24:S27">$F$16*N15*$F$7</f>
        <v>32.78704968222616</v>
      </c>
      <c r="O24" s="53">
        <f t="shared" si="3"/>
        <v>-30.165954557235338</v>
      </c>
      <c r="P24" s="53">
        <f t="shared" si="3"/>
        <v>50.611324619690635</v>
      </c>
      <c r="Q24" s="53">
        <f t="shared" si="3"/>
        <v>-46.679681932204396</v>
      </c>
      <c r="R24" s="53">
        <f t="shared" si="3"/>
        <v>65.57409936445232</v>
      </c>
      <c r="S24" s="53">
        <f t="shared" si="3"/>
        <v>-60.331909114470676</v>
      </c>
      <c r="T24" s="5"/>
      <c r="V24" s="23" t="s">
        <v>92</v>
      </c>
      <c r="W24" s="29">
        <f>$H$8</f>
        <v>18.43494882292201</v>
      </c>
      <c r="X24" s="24">
        <v>30</v>
      </c>
      <c r="Y24" s="24">
        <v>45</v>
      </c>
      <c r="Z24" s="24">
        <v>1.3</v>
      </c>
      <c r="AA24" s="24">
        <v>1.1</v>
      </c>
      <c r="AB24" s="61">
        <f>Z24+(AA24-Z24)*($W24-$X24)/($Y24-$X24)</f>
        <v>1.4542006823610398</v>
      </c>
      <c r="AC24" s="24">
        <v>-0.9</v>
      </c>
      <c r="AD24" s="24">
        <v>-0.8</v>
      </c>
      <c r="AE24" s="62">
        <f>AC24+(AD24-AC24)*($W24-$X24)/($Y24-$X24)</f>
        <v>-0.9771003411805199</v>
      </c>
      <c r="AG24" s="23" t="s">
        <v>92</v>
      </c>
      <c r="AH24" s="29">
        <f>$H$8</f>
        <v>18.43494882292201</v>
      </c>
      <c r="AI24" s="24">
        <v>30</v>
      </c>
      <c r="AJ24" s="24">
        <v>45</v>
      </c>
      <c r="AK24" s="24">
        <v>1.3</v>
      </c>
      <c r="AL24" s="24">
        <v>1.1</v>
      </c>
      <c r="AM24" s="61">
        <f>AK24+(AL24-AK24)*($W24-$X24)/($Y24-$X24)</f>
        <v>1.4542006823610398</v>
      </c>
      <c r="AN24" s="24">
        <v>-0.9</v>
      </c>
      <c r="AO24" s="24">
        <v>-0.8</v>
      </c>
      <c r="AP24" s="62">
        <f>AN24+(AO24-AN24)*($W24-$X24)/($Y24-$X24)</f>
        <v>-0.9771003411805199</v>
      </c>
      <c r="AR24" s="23" t="s">
        <v>92</v>
      </c>
      <c r="AS24" s="29">
        <f>$H$8</f>
        <v>18.43494882292201</v>
      </c>
      <c r="AT24" s="24">
        <v>30</v>
      </c>
      <c r="AU24" s="24">
        <v>45</v>
      </c>
      <c r="AV24" s="24">
        <v>1.3</v>
      </c>
      <c r="AW24" s="24">
        <v>1.1</v>
      </c>
      <c r="AX24" s="61">
        <f>AV24+(AW24-AV24)*($W24-$X24)/($Y24-$X24)</f>
        <v>1.4542006823610398</v>
      </c>
      <c r="AY24" s="24">
        <v>-0.9</v>
      </c>
      <c r="AZ24" s="24">
        <v>-0.8</v>
      </c>
      <c r="BA24" s="62">
        <f>AY24+(AZ24-AY24)*($W24-$X24)/($Y24-$X24)</f>
        <v>-0.9771003411805199</v>
      </c>
    </row>
    <row r="25" spans="1:53" ht="12.75">
      <c r="A25" s="5"/>
      <c r="B25" s="48"/>
      <c r="C25" s="48"/>
      <c r="D25" s="48"/>
      <c r="E25" s="48"/>
      <c r="F25" s="50"/>
      <c r="G25" s="50"/>
      <c r="H25" s="16"/>
      <c r="I25" s="16"/>
      <c r="J25" s="16"/>
      <c r="K25" s="5"/>
      <c r="L25" s="48" t="s">
        <v>82</v>
      </c>
      <c r="M25" s="50">
        <f>Q6</f>
        <v>9</v>
      </c>
      <c r="N25" s="50">
        <f t="shared" si="3"/>
        <v>32.78704968222616</v>
      </c>
      <c r="O25" s="50">
        <f t="shared" si="3"/>
        <v>-30.165954557235338</v>
      </c>
      <c r="P25" s="50">
        <f t="shared" si="3"/>
        <v>50.611324619690635</v>
      </c>
      <c r="Q25" s="50">
        <f t="shared" si="3"/>
        <v>-46.679681932204396</v>
      </c>
      <c r="R25" s="50">
        <f t="shared" si="3"/>
        <v>65.57409936445232</v>
      </c>
      <c r="S25" s="50">
        <f t="shared" si="3"/>
        <v>-60.331909114470676</v>
      </c>
      <c r="T25" s="38"/>
      <c r="AB25" s="63">
        <f>IF($H$8&gt;30,AB24,IF($H$8&gt;15,AB23,IF($H$8&gt;7.5,AB22,AB21)))</f>
        <v>1.1457993176389603</v>
      </c>
      <c r="AE25" s="63">
        <f>IF($H$8&gt;30,AE24,IF($H$8&gt;15,AE23,IF($H$8&gt;7.5,AE22,AE21)))</f>
        <v>-1.05420068236104</v>
      </c>
      <c r="AM25" s="63">
        <f>IF($H$8&gt;30,AM24,IF($H$8&gt;15,AM23,IF($H$8&gt;7.5,AM22,AM21)))</f>
        <v>1.1457993176389603</v>
      </c>
      <c r="AP25" s="63">
        <f>IF($H$8&gt;30,AP24,IF($H$8&gt;15,AP23,IF($H$8&gt;7.5,AP22,AP21)))</f>
        <v>-1.05420068236104</v>
      </c>
      <c r="AX25" s="63">
        <f>IF($H$8&gt;30,AX24,IF($H$8&gt;15,AX23,IF($H$8&gt;7.5,AX22,AX21)))</f>
        <v>1.1457993176389603</v>
      </c>
      <c r="BA25" s="63">
        <f>IF($H$8&gt;30,BA24,IF($H$8&gt;15,BA23,IF($H$8&gt;7.5,BA22,BA21)))</f>
        <v>-1.05420068236104</v>
      </c>
    </row>
    <row r="26" spans="1:20" ht="12.75">
      <c r="A26" s="5"/>
      <c r="B26" s="48"/>
      <c r="C26" s="48"/>
      <c r="D26" s="48"/>
      <c r="E26" s="48"/>
      <c r="F26" s="50"/>
      <c r="G26" s="50"/>
      <c r="H26" s="16"/>
      <c r="I26" s="16"/>
      <c r="J26" s="16"/>
      <c r="K26" s="5"/>
      <c r="L26" s="48" t="s">
        <v>83</v>
      </c>
      <c r="M26" s="50" t="str">
        <f>Q7</f>
        <v>~22.5</v>
      </c>
      <c r="N26" s="50">
        <f t="shared" si="3"/>
        <v>32.78704968222616</v>
      </c>
      <c r="O26" s="50">
        <f t="shared" si="3"/>
        <v>-30.165954557235338</v>
      </c>
      <c r="P26" s="50">
        <f t="shared" si="3"/>
        <v>50.611324619690635</v>
      </c>
      <c r="Q26" s="50">
        <f t="shared" si="3"/>
        <v>-46.679681932204396</v>
      </c>
      <c r="R26" s="50">
        <f t="shared" si="3"/>
        <v>50.611324619690635</v>
      </c>
      <c r="S26" s="50">
        <f t="shared" si="3"/>
        <v>-46.679681932204396</v>
      </c>
      <c r="T26" s="38"/>
    </row>
    <row r="27" spans="1:20" ht="12.75">
      <c r="A27" s="5"/>
      <c r="B27" s="48"/>
      <c r="C27" s="48"/>
      <c r="D27" s="48"/>
      <c r="E27" s="48"/>
      <c r="F27" s="50"/>
      <c r="G27" s="50"/>
      <c r="H27" s="16"/>
      <c r="I27" s="16"/>
      <c r="J27" s="16"/>
      <c r="K27" s="5"/>
      <c r="L27" s="48" t="s">
        <v>84</v>
      </c>
      <c r="M27" s="50">
        <f>Q8</f>
        <v>36</v>
      </c>
      <c r="N27" s="50">
        <f t="shared" si="3"/>
        <v>32.78704968222616</v>
      </c>
      <c r="O27" s="50">
        <f t="shared" si="3"/>
        <v>-30.165954557235338</v>
      </c>
      <c r="P27" s="50">
        <f t="shared" si="3"/>
        <v>32.78704968222616</v>
      </c>
      <c r="Q27" s="50">
        <f t="shared" si="3"/>
        <v>-30.165954557235338</v>
      </c>
      <c r="R27" s="50">
        <f t="shared" si="3"/>
        <v>32.78704968222616</v>
      </c>
      <c r="S27" s="50">
        <f t="shared" si="3"/>
        <v>-30.165954557235338</v>
      </c>
      <c r="T27" s="38"/>
    </row>
    <row r="28" spans="1:53" ht="12.75">
      <c r="A28" s="5"/>
      <c r="B28" s="48"/>
      <c r="C28" s="48"/>
      <c r="D28" s="48"/>
      <c r="E28" s="48"/>
      <c r="F28" s="50"/>
      <c r="G28" s="50"/>
      <c r="H28" s="16"/>
      <c r="I28" s="16"/>
      <c r="J28" s="16"/>
      <c r="K28" s="5"/>
      <c r="T28" s="38"/>
      <c r="V28" s="30" t="s">
        <v>96</v>
      </c>
      <c r="W28" s="31"/>
      <c r="X28" s="31"/>
      <c r="Y28" s="31"/>
      <c r="Z28" s="67" t="s">
        <v>82</v>
      </c>
      <c r="AA28" s="31"/>
      <c r="AB28" s="31"/>
      <c r="AC28" s="32" t="s">
        <v>30</v>
      </c>
      <c r="AD28" s="31"/>
      <c r="AE28" s="33"/>
      <c r="AG28" s="30" t="s">
        <v>97</v>
      </c>
      <c r="AH28" s="31"/>
      <c r="AI28" s="31"/>
      <c r="AJ28" s="31"/>
      <c r="AK28" s="67" t="s">
        <v>82</v>
      </c>
      <c r="AL28" s="31"/>
      <c r="AM28" s="31"/>
      <c r="AN28" s="32" t="s">
        <v>30</v>
      </c>
      <c r="AO28" s="31"/>
      <c r="AP28" s="33"/>
      <c r="AR28" s="30" t="s">
        <v>98</v>
      </c>
      <c r="AS28" s="31"/>
      <c r="AT28" s="31"/>
      <c r="AU28" s="31"/>
      <c r="AV28" s="67" t="s">
        <v>82</v>
      </c>
      <c r="AW28" s="31"/>
      <c r="AX28" s="31"/>
      <c r="AY28" s="32" t="s">
        <v>30</v>
      </c>
      <c r="AZ28" s="31"/>
      <c r="BA28" s="33"/>
    </row>
    <row r="29" spans="1:53" ht="12.75">
      <c r="A29" s="5"/>
      <c r="B29" s="48"/>
      <c r="C29" s="48"/>
      <c r="D29" s="48"/>
      <c r="F29" s="48" t="s">
        <v>79</v>
      </c>
      <c r="G29" s="50"/>
      <c r="H29" s="16"/>
      <c r="I29" s="16"/>
      <c r="J29" s="16"/>
      <c r="K29" s="5"/>
      <c r="T29" s="38"/>
      <c r="V29" s="22" t="s">
        <v>33</v>
      </c>
      <c r="W29" s="9" t="s">
        <v>33</v>
      </c>
      <c r="X29" s="9" t="s">
        <v>66</v>
      </c>
      <c r="Y29" s="9" t="s">
        <v>67</v>
      </c>
      <c r="Z29" s="10" t="s">
        <v>68</v>
      </c>
      <c r="AA29" s="9" t="s">
        <v>70</v>
      </c>
      <c r="AB29" s="9" t="s">
        <v>72</v>
      </c>
      <c r="AC29" s="10" t="s">
        <v>71</v>
      </c>
      <c r="AD29" s="9" t="s">
        <v>69</v>
      </c>
      <c r="AE29" s="26" t="s">
        <v>74</v>
      </c>
      <c r="AG29" s="22" t="s">
        <v>33</v>
      </c>
      <c r="AH29" s="9" t="s">
        <v>33</v>
      </c>
      <c r="AI29" s="9" t="s">
        <v>66</v>
      </c>
      <c r="AJ29" s="9" t="s">
        <v>67</v>
      </c>
      <c r="AK29" s="10" t="s">
        <v>68</v>
      </c>
      <c r="AL29" s="9" t="s">
        <v>70</v>
      </c>
      <c r="AM29" s="9" t="s">
        <v>72</v>
      </c>
      <c r="AN29" s="10" t="s">
        <v>71</v>
      </c>
      <c r="AO29" s="9" t="s">
        <v>69</v>
      </c>
      <c r="AP29" s="26" t="s">
        <v>74</v>
      </c>
      <c r="AR29" s="22" t="s">
        <v>33</v>
      </c>
      <c r="AS29" s="9" t="s">
        <v>33</v>
      </c>
      <c r="AT29" s="9" t="s">
        <v>66</v>
      </c>
      <c r="AU29" s="9" t="s">
        <v>67</v>
      </c>
      <c r="AV29" s="10" t="s">
        <v>68</v>
      </c>
      <c r="AW29" s="9" t="s">
        <v>70</v>
      </c>
      <c r="AX29" s="9" t="s">
        <v>72</v>
      </c>
      <c r="AY29" s="10" t="s">
        <v>71</v>
      </c>
      <c r="AZ29" s="9" t="s">
        <v>69</v>
      </c>
      <c r="BA29" s="26" t="s">
        <v>74</v>
      </c>
    </row>
    <row r="30" spans="1:53" ht="12.75">
      <c r="A30" s="5"/>
      <c r="B30" s="48"/>
      <c r="C30" s="48"/>
      <c r="D30" s="48"/>
      <c r="E30" s="48"/>
      <c r="F30" s="50"/>
      <c r="G30" s="50"/>
      <c r="H30" s="16"/>
      <c r="I30" s="16"/>
      <c r="J30" s="16"/>
      <c r="K30" s="5"/>
      <c r="L30" s="52" t="s">
        <v>90</v>
      </c>
      <c r="M30" s="48"/>
      <c r="N30" s="50"/>
      <c r="O30" s="50"/>
      <c r="P30" s="50"/>
      <c r="Q30" s="50"/>
      <c r="R30" s="16"/>
      <c r="S30" s="16"/>
      <c r="T30" s="38"/>
      <c r="V30" s="22" t="s">
        <v>64</v>
      </c>
      <c r="W30" s="12">
        <f>$H$8</f>
        <v>18.43494882292201</v>
      </c>
      <c r="X30" s="9">
        <v>0</v>
      </c>
      <c r="Y30" s="9">
        <v>7.5</v>
      </c>
      <c r="Z30" s="9">
        <v>0.5</v>
      </c>
      <c r="AA30" s="9">
        <v>0.5</v>
      </c>
      <c r="AB30" s="60">
        <f>Z30+(AA30-Z30)*($W30-$X30)/($Y30-$X30)</f>
        <v>0.5</v>
      </c>
      <c r="AC30" s="9">
        <v>-1.2</v>
      </c>
      <c r="AD30" s="9">
        <v>-1.7</v>
      </c>
      <c r="AE30" s="59">
        <f>AC30+(AD30-AC30)*($W30-$X30)/($Y30-$X30)</f>
        <v>-2.4289965881948006</v>
      </c>
      <c r="AG30" s="22" t="s">
        <v>64</v>
      </c>
      <c r="AH30" s="12">
        <f>$H$8</f>
        <v>18.43494882292201</v>
      </c>
      <c r="AI30" s="9">
        <v>0</v>
      </c>
      <c r="AJ30" s="9">
        <v>7.5</v>
      </c>
      <c r="AK30" s="9">
        <v>0.8</v>
      </c>
      <c r="AL30" s="9">
        <v>0.8</v>
      </c>
      <c r="AM30" s="60">
        <f>AK30+(AL30-AK30)*($W30-$X30)/($Y30-$X30)</f>
        <v>0.8</v>
      </c>
      <c r="AN30" s="9">
        <v>-1.8</v>
      </c>
      <c r="AO30" s="9">
        <v>-2.6</v>
      </c>
      <c r="AP30" s="59">
        <f>AN30+(AO30-AN30)*($W30-$X30)/($Y30-$X30)</f>
        <v>-3.7663945411116813</v>
      </c>
      <c r="AR30" s="22" t="s">
        <v>64</v>
      </c>
      <c r="AS30" s="12">
        <f>$H$8</f>
        <v>18.43494882292201</v>
      </c>
      <c r="AT30" s="9">
        <v>0</v>
      </c>
      <c r="AU30" s="9">
        <v>7.5</v>
      </c>
      <c r="AV30" s="9">
        <v>1</v>
      </c>
      <c r="AW30" s="9">
        <v>1</v>
      </c>
      <c r="AX30" s="60">
        <f>AV30+(AW30-AV30)*($W30-$X30)/($Y30-$X30)</f>
        <v>1</v>
      </c>
      <c r="AY30" s="9">
        <v>-3.6</v>
      </c>
      <c r="AZ30" s="9">
        <v>-5.1</v>
      </c>
      <c r="BA30" s="59">
        <f>AY30+(AZ30-AY30)*($W30-$X30)/($Y30-$X30)</f>
        <v>-7.286989764584401</v>
      </c>
    </row>
    <row r="31" spans="1:53" ht="12.75">
      <c r="A31" s="5"/>
      <c r="B31" s="24" t="s">
        <v>77</v>
      </c>
      <c r="C31" s="24"/>
      <c r="D31" s="5"/>
      <c r="E31" s="5"/>
      <c r="F31" s="5"/>
      <c r="G31" s="5"/>
      <c r="H31" s="15"/>
      <c r="I31" s="6"/>
      <c r="J31" s="54"/>
      <c r="K31" s="5"/>
      <c r="L31" s="44" t="s">
        <v>43</v>
      </c>
      <c r="M31" s="44" t="s">
        <v>46</v>
      </c>
      <c r="N31" s="45" t="s">
        <v>51</v>
      </c>
      <c r="O31" s="45" t="s">
        <v>52</v>
      </c>
      <c r="P31" s="45" t="s">
        <v>53</v>
      </c>
      <c r="Q31" s="45" t="s">
        <v>54</v>
      </c>
      <c r="R31" s="45" t="s">
        <v>55</v>
      </c>
      <c r="S31" s="45" t="s">
        <v>56</v>
      </c>
      <c r="T31" s="38"/>
      <c r="V31" s="22" t="s">
        <v>65</v>
      </c>
      <c r="W31" s="12">
        <f>$H$8</f>
        <v>18.43494882292201</v>
      </c>
      <c r="X31" s="9">
        <v>7.5</v>
      </c>
      <c r="Y31" s="9">
        <v>15</v>
      </c>
      <c r="Z31" s="9">
        <v>0.5</v>
      </c>
      <c r="AA31" s="9">
        <v>0.5</v>
      </c>
      <c r="AB31" s="60">
        <f>Z31+(AA31-Z31)*($W31-$X31)/($Y31-$X31)</f>
        <v>0.5</v>
      </c>
      <c r="AC31" s="9">
        <v>-1.7</v>
      </c>
      <c r="AD31" s="9">
        <v>-1.6</v>
      </c>
      <c r="AE31" s="59">
        <f>AC31+(AD31-AC31)*($W31-$X31)/($Y31-$X31)</f>
        <v>-1.55420068236104</v>
      </c>
      <c r="AG31" s="22" t="s">
        <v>65</v>
      </c>
      <c r="AH31" s="12">
        <f>$H$8</f>
        <v>18.43494882292201</v>
      </c>
      <c r="AI31" s="9">
        <v>7.5</v>
      </c>
      <c r="AJ31" s="9">
        <v>15</v>
      </c>
      <c r="AK31" s="9">
        <v>0.8</v>
      </c>
      <c r="AL31" s="9">
        <v>0.8</v>
      </c>
      <c r="AM31" s="60">
        <f>AK31+(AL31-AK31)*($W31-$X31)/($Y31-$X31)</f>
        <v>0.8</v>
      </c>
      <c r="AN31" s="9">
        <v>-2.6</v>
      </c>
      <c r="AO31" s="9">
        <v>-2.4</v>
      </c>
      <c r="AP31" s="59">
        <f>AN31+(AO31-AN31)*($W31-$X31)/($Y31-$X31)</f>
        <v>-2.3084013647220796</v>
      </c>
      <c r="AR31" s="22" t="s">
        <v>65</v>
      </c>
      <c r="AS31" s="12">
        <f>$H$8</f>
        <v>18.43494882292201</v>
      </c>
      <c r="AT31" s="9">
        <v>7.5</v>
      </c>
      <c r="AU31" s="9">
        <v>15</v>
      </c>
      <c r="AV31" s="9">
        <v>1</v>
      </c>
      <c r="AW31" s="9">
        <v>1</v>
      </c>
      <c r="AX31" s="60">
        <f>AV31+(AW31-AV31)*($W31-$X31)/($Y31-$X31)</f>
        <v>1</v>
      </c>
      <c r="AY31" s="9">
        <v>-5.1</v>
      </c>
      <c r="AZ31" s="9">
        <v>-3.2</v>
      </c>
      <c r="BA31" s="59">
        <f>AY31+(AZ31-AY31)*($W31-$X31)/($Y31-$X31)</f>
        <v>-2.329812964859758</v>
      </c>
    </row>
    <row r="32" spans="1:53" ht="12.75">
      <c r="A32" s="5"/>
      <c r="B32" s="5" t="s">
        <v>58</v>
      </c>
      <c r="C32" s="5">
        <v>0.1</v>
      </c>
      <c r="D32" s="8" t="s">
        <v>29</v>
      </c>
      <c r="E32" s="71">
        <v>21</v>
      </c>
      <c r="F32" s="21" t="s">
        <v>36</v>
      </c>
      <c r="G32" s="21">
        <f>C32*E32</f>
        <v>2.1</v>
      </c>
      <c r="H32" s="12" t="s">
        <v>32</v>
      </c>
      <c r="I32" s="6">
        <f>IF(G32&lt;=MIN($G$32:$G$33),IF(G32&gt;=MAX($G$34:$G$35),"(controls)",""),"")</f>
      </c>
      <c r="J32" s="54">
        <f>IF(G32&lt;=MIN($G$32:$G$33),IF(G32&gt;=MAX($G$34:$G$35),CONCATENATE("a = ",G32," ft"),""),"")</f>
      </c>
      <c r="K32" s="5"/>
      <c r="L32" s="48" t="s">
        <v>47</v>
      </c>
      <c r="M32" s="50">
        <f>Q4</f>
        <v>147</v>
      </c>
      <c r="N32" s="50">
        <f aca="true" t="shared" si="4" ref="N32:S32">IF($M32&gt;$M36,N36,IF($M32&lt;=$M34,N34,N35))</f>
        <v>0.5</v>
      </c>
      <c r="O32" s="50">
        <f t="shared" si="4"/>
        <v>-1.5084013647220798</v>
      </c>
      <c r="P32" s="50">
        <f t="shared" si="4"/>
        <v>0.5</v>
      </c>
      <c r="Q32" s="50">
        <f t="shared" si="4"/>
        <v>-1.5084013647220798</v>
      </c>
      <c r="R32" s="50">
        <f t="shared" si="4"/>
        <v>0.5</v>
      </c>
      <c r="S32" s="50">
        <f t="shared" si="4"/>
        <v>-1.5084013647220798</v>
      </c>
      <c r="T32" s="38"/>
      <c r="V32" s="22" t="s">
        <v>91</v>
      </c>
      <c r="W32" s="12">
        <f>$H$8</f>
        <v>18.43494882292201</v>
      </c>
      <c r="X32" s="9">
        <v>15</v>
      </c>
      <c r="Y32" s="9">
        <v>30</v>
      </c>
      <c r="Z32" s="9">
        <v>0.5</v>
      </c>
      <c r="AA32" s="9">
        <v>0.5</v>
      </c>
      <c r="AB32" s="60">
        <f>Z32+(AA32-Z32)*($W32-$X32)/($Y32-$X32)</f>
        <v>0.5</v>
      </c>
      <c r="AC32" s="9">
        <v>-1.6</v>
      </c>
      <c r="AD32" s="9">
        <v>-1.2</v>
      </c>
      <c r="AE32" s="59">
        <f>AC32+(AD32-AC32)*($W32-$X32)/($Y32-$X32)</f>
        <v>-1.5084013647220798</v>
      </c>
      <c r="AG32" s="22" t="s">
        <v>91</v>
      </c>
      <c r="AH32" s="12">
        <f>$H$8</f>
        <v>18.43494882292201</v>
      </c>
      <c r="AI32" s="9">
        <v>15</v>
      </c>
      <c r="AJ32" s="9">
        <v>30</v>
      </c>
      <c r="AK32" s="9">
        <v>0.8</v>
      </c>
      <c r="AL32" s="9">
        <v>0.8</v>
      </c>
      <c r="AM32" s="60">
        <f>AK32+(AL32-AK32)*($W32-$X32)/($Y32-$X32)</f>
        <v>0.8</v>
      </c>
      <c r="AN32" s="9">
        <v>-2.4</v>
      </c>
      <c r="AO32" s="9">
        <v>-1.8</v>
      </c>
      <c r="AP32" s="59">
        <f>AN32+(AO32-AN32)*($W32-$X32)/($Y32-$X32)</f>
        <v>-2.2626020470831194</v>
      </c>
      <c r="AR32" s="22" t="s">
        <v>91</v>
      </c>
      <c r="AS32" s="12">
        <f>$H$8</f>
        <v>18.43494882292201</v>
      </c>
      <c r="AT32" s="9">
        <v>15</v>
      </c>
      <c r="AU32" s="9">
        <v>30</v>
      </c>
      <c r="AV32" s="9">
        <v>1</v>
      </c>
      <c r="AW32" s="9">
        <v>1</v>
      </c>
      <c r="AX32" s="60">
        <f>AV32+(AW32-AV32)*($W32-$X32)/($Y32-$X32)</f>
        <v>1</v>
      </c>
      <c r="AY32" s="9">
        <v>-3.2</v>
      </c>
      <c r="AZ32" s="9">
        <v>-2.4</v>
      </c>
      <c r="BA32" s="59">
        <f>AY32+(AZ32-AY32)*($W32-$X32)/($Y32-$X32)</f>
        <v>-3.0168027294441595</v>
      </c>
    </row>
    <row r="33" spans="1:53" ht="12.75">
      <c r="A33" s="5"/>
      <c r="B33" s="5"/>
      <c r="C33" s="5">
        <v>0.4</v>
      </c>
      <c r="D33" s="5" t="s">
        <v>29</v>
      </c>
      <c r="E33" s="39">
        <f>F11</f>
        <v>9.75</v>
      </c>
      <c r="F33" s="21" t="s">
        <v>36</v>
      </c>
      <c r="G33" s="21">
        <f>C33*E33</f>
        <v>3.9000000000000004</v>
      </c>
      <c r="H33" s="12" t="s">
        <v>32</v>
      </c>
      <c r="I33" s="6">
        <f>IF(G33&lt;=MIN($G$32:$G$33),IF(G33&gt;=MAX($G$34:$G$35),"(controls)",""),"")</f>
      </c>
      <c r="J33" s="54">
        <f>IF(G33&lt;=MIN($G$32:$G$33),IF(G33&gt;=MAX($G$34:$G$35),CONCATENATE("a = ",G33," ft"),""),"")</f>
      </c>
      <c r="K33" s="5"/>
      <c r="L33" s="48" t="s">
        <v>48</v>
      </c>
      <c r="M33" s="50">
        <f>Q5</f>
        <v>4</v>
      </c>
      <c r="N33" s="50">
        <f aca="true" t="shared" si="5" ref="N33:S33">IF($M33&gt;$M36,N36,IF($M33&lt;=$M34,N34,N35))</f>
        <v>0.5</v>
      </c>
      <c r="O33" s="50">
        <f t="shared" si="5"/>
        <v>-1.5084013647220798</v>
      </c>
      <c r="P33" s="50">
        <f t="shared" si="5"/>
        <v>0.8</v>
      </c>
      <c r="Q33" s="50">
        <f t="shared" si="5"/>
        <v>-2.2626020470831194</v>
      </c>
      <c r="R33" s="50">
        <f t="shared" si="5"/>
        <v>1</v>
      </c>
      <c r="S33" s="50">
        <f t="shared" si="5"/>
        <v>-3.0168027294441595</v>
      </c>
      <c r="T33" s="38"/>
      <c r="V33" s="23" t="s">
        <v>92</v>
      </c>
      <c r="W33" s="29">
        <f>$H$8</f>
        <v>18.43494882292201</v>
      </c>
      <c r="X33" s="24">
        <v>30</v>
      </c>
      <c r="Y33" s="24">
        <v>45</v>
      </c>
      <c r="Z33" s="24">
        <v>0.5</v>
      </c>
      <c r="AA33" s="24">
        <v>0.5</v>
      </c>
      <c r="AB33" s="61">
        <f>Z33+(AA33-Z33)*($W33-$X33)/($Y33-$X33)</f>
        <v>0.5</v>
      </c>
      <c r="AC33" s="24">
        <v>-1.2</v>
      </c>
      <c r="AD33" s="24">
        <v>-1.2</v>
      </c>
      <c r="AE33" s="62">
        <f>AC33+(AD33-AC33)*($W33-$X33)/($Y33-$X33)</f>
        <v>-1.2</v>
      </c>
      <c r="AG33" s="23" t="s">
        <v>92</v>
      </c>
      <c r="AH33" s="29">
        <f>$H$8</f>
        <v>18.43494882292201</v>
      </c>
      <c r="AI33" s="24">
        <v>30</v>
      </c>
      <c r="AJ33" s="24">
        <v>45</v>
      </c>
      <c r="AK33" s="24">
        <v>0.8</v>
      </c>
      <c r="AL33" s="24">
        <v>0.8</v>
      </c>
      <c r="AM33" s="61">
        <f>AK33+(AL33-AK33)*($W33-$X33)/($Y33-$X33)</f>
        <v>0.8</v>
      </c>
      <c r="AN33" s="24">
        <v>-1.8</v>
      </c>
      <c r="AO33" s="24">
        <v>-1.8</v>
      </c>
      <c r="AP33" s="62">
        <f>AN33+(AO33-AN33)*($W33-$X33)/($Y33-$X33)</f>
        <v>-1.8</v>
      </c>
      <c r="AR33" s="23" t="s">
        <v>92</v>
      </c>
      <c r="AS33" s="29">
        <f>$H$8</f>
        <v>18.43494882292201</v>
      </c>
      <c r="AT33" s="24">
        <v>30</v>
      </c>
      <c r="AU33" s="24">
        <v>45</v>
      </c>
      <c r="AV33" s="24">
        <v>1</v>
      </c>
      <c r="AW33" s="24">
        <v>1</v>
      </c>
      <c r="AX33" s="61">
        <f>AV33+(AW33-AV33)*($W33-$X33)/($Y33-$X33)</f>
        <v>1</v>
      </c>
      <c r="AY33" s="24">
        <v>-2.4</v>
      </c>
      <c r="AZ33" s="24">
        <v>-2.4</v>
      </c>
      <c r="BA33" s="62">
        <f>AY33+(AZ33-AY33)*($W33-$X33)/($Y33-$X33)</f>
        <v>-2.4</v>
      </c>
    </row>
    <row r="34" spans="1:53" ht="12.75">
      <c r="A34" s="5"/>
      <c r="B34" s="5" t="s">
        <v>60</v>
      </c>
      <c r="C34" s="5">
        <v>0.04</v>
      </c>
      <c r="D34" s="5" t="s">
        <v>29</v>
      </c>
      <c r="E34" s="39">
        <f>E32</f>
        <v>21</v>
      </c>
      <c r="F34" s="21" t="s">
        <v>36</v>
      </c>
      <c r="G34" s="21">
        <f>C34*E34</f>
        <v>0.84</v>
      </c>
      <c r="H34" s="12" t="s">
        <v>32</v>
      </c>
      <c r="I34" s="6">
        <f>IF(G34&gt;=MIN($G$32:$G$33),IF(G34&gt;=MAX($G$34:$G$35),"(controls)",""),"")</f>
      </c>
      <c r="J34" s="54">
        <f>IF(G34&gt;=MIN($G$32:$G$33),IF(G34&gt;=MAX($G$34:$G$35),CONCATENATE("a = ",G34," ft"),""),"")</f>
      </c>
      <c r="K34" s="5"/>
      <c r="L34" s="48" t="s">
        <v>82</v>
      </c>
      <c r="M34" s="50">
        <f>Q6</f>
        <v>9</v>
      </c>
      <c r="N34" s="50">
        <f>AB34</f>
        <v>0.5</v>
      </c>
      <c r="O34" s="50">
        <f>AE34</f>
        <v>-1.5084013647220798</v>
      </c>
      <c r="P34" s="50">
        <f>AM34</f>
        <v>0.8</v>
      </c>
      <c r="Q34" s="50">
        <f>AP34</f>
        <v>-2.2626020470831194</v>
      </c>
      <c r="R34" s="50">
        <f>AX34</f>
        <v>1</v>
      </c>
      <c r="S34" s="50">
        <f>BA34</f>
        <v>-3.0168027294441595</v>
      </c>
      <c r="T34" s="38"/>
      <c r="AB34" s="63">
        <f>IF($H$8&gt;30,AB33,IF($H$8&gt;15,AB32,IF($H$8&gt;7.5,AB31,AB30)))</f>
        <v>0.5</v>
      </c>
      <c r="AE34" s="63">
        <f>IF($H$8&gt;30,AE33,IF($H$8&gt;15,AE32,IF($H$8&gt;7.5,AE31,AE30)))</f>
        <v>-1.5084013647220798</v>
      </c>
      <c r="AM34" s="63">
        <f>IF($H$8&gt;30,AM33,IF($H$8&gt;15,AM32,IF($H$8&gt;7.5,AM31,AM30)))</f>
        <v>0.8</v>
      </c>
      <c r="AP34" s="63">
        <f>IF($H$8&gt;30,AP33,IF($H$8&gt;15,AP32,IF($H$8&gt;7.5,AP31,AP30)))</f>
        <v>-2.2626020470831194</v>
      </c>
      <c r="AX34" s="63">
        <f>IF($H$8&gt;30,AX33,IF($H$8&gt;15,AX32,IF($H$8&gt;7.5,AX31,AX30)))</f>
        <v>1</v>
      </c>
      <c r="BA34" s="63">
        <f>IF($H$8&gt;30,BA33,IF($H$8&gt;15,BA32,IF($H$8&gt;7.5,BA31,BA30)))</f>
        <v>-3.0168027294441595</v>
      </c>
    </row>
    <row r="35" spans="1:20" ht="12.75">
      <c r="A35" s="5"/>
      <c r="B35" s="5"/>
      <c r="C35" s="5"/>
      <c r="D35" s="5"/>
      <c r="E35" s="5"/>
      <c r="F35" s="5" t="s">
        <v>61</v>
      </c>
      <c r="G35" s="5">
        <v>3</v>
      </c>
      <c r="H35" s="5" t="s">
        <v>32</v>
      </c>
      <c r="I35" s="6" t="str">
        <f>IF(G35&gt;=MIN($G$32:$G$33),IF(G35&gt;=MAX($G$34:$G$35),"(controls)",""),"")</f>
        <v>(controls)</v>
      </c>
      <c r="J35" s="54" t="str">
        <f>IF(G35&gt;=MIN($G$32:$G$33),IF(G35&gt;=MAX($G$34:$G$35),CONCATENATE("a = ",G35," ft"),""),"")</f>
        <v>a = 3 ft</v>
      </c>
      <c r="K35" s="5"/>
      <c r="L35" s="48" t="s">
        <v>83</v>
      </c>
      <c r="M35" s="50" t="str">
        <f>Q7</f>
        <v>~22.5</v>
      </c>
      <c r="N35" s="50">
        <f>AB42</f>
        <v>0.5</v>
      </c>
      <c r="O35" s="50">
        <f>AE42</f>
        <v>-1.5084013647220798</v>
      </c>
      <c r="P35" s="50">
        <f>AM42</f>
        <v>0.8</v>
      </c>
      <c r="Q35" s="50">
        <f>AP42</f>
        <v>-2.2626020470831194</v>
      </c>
      <c r="R35" s="50">
        <f>AX42</f>
        <v>0.8</v>
      </c>
      <c r="S35" s="50">
        <f>BA42</f>
        <v>-2.2626020470831194</v>
      </c>
      <c r="T35" s="38"/>
    </row>
    <row r="36" spans="1:53" ht="12.75">
      <c r="A36" s="5"/>
      <c r="B36" s="48"/>
      <c r="C36" s="48"/>
      <c r="D36" s="48"/>
      <c r="E36" s="48"/>
      <c r="F36" s="50"/>
      <c r="G36" s="66">
        <f>MAX(MIN($G$32:$G$33),G34,G35)</f>
        <v>3</v>
      </c>
      <c r="H36" s="16"/>
      <c r="I36" s="16"/>
      <c r="J36" s="16"/>
      <c r="K36" s="5"/>
      <c r="L36" s="48" t="s">
        <v>84</v>
      </c>
      <c r="M36" s="50">
        <f>Q8</f>
        <v>36</v>
      </c>
      <c r="N36" s="50">
        <f>AB50</f>
        <v>0.5</v>
      </c>
      <c r="O36" s="50">
        <f>AE50</f>
        <v>-1.5084013647220798</v>
      </c>
      <c r="P36" s="50">
        <f>AM50</f>
        <v>0.5</v>
      </c>
      <c r="Q36" s="50">
        <f>AP50</f>
        <v>-1.5084013647220798</v>
      </c>
      <c r="R36" s="50">
        <f>AX50</f>
        <v>0.5</v>
      </c>
      <c r="S36" s="50">
        <f>BA50</f>
        <v>-1.5084013647220798</v>
      </c>
      <c r="T36" s="38"/>
      <c r="V36" s="30" t="s">
        <v>96</v>
      </c>
      <c r="W36" s="31"/>
      <c r="X36" s="31"/>
      <c r="Y36" s="31"/>
      <c r="Z36" s="67" t="s">
        <v>83</v>
      </c>
      <c r="AA36" s="31"/>
      <c r="AB36" s="31"/>
      <c r="AC36" s="32" t="s">
        <v>30</v>
      </c>
      <c r="AD36" s="31"/>
      <c r="AE36" s="33"/>
      <c r="AG36" s="30" t="s">
        <v>97</v>
      </c>
      <c r="AH36" s="31"/>
      <c r="AI36" s="31"/>
      <c r="AJ36" s="31"/>
      <c r="AK36" s="67" t="s">
        <v>83</v>
      </c>
      <c r="AL36" s="31"/>
      <c r="AM36" s="31"/>
      <c r="AN36" s="32" t="s">
        <v>30</v>
      </c>
      <c r="AO36" s="31"/>
      <c r="AP36" s="33"/>
      <c r="AR36" s="30" t="s">
        <v>98</v>
      </c>
      <c r="AS36" s="31"/>
      <c r="AT36" s="31"/>
      <c r="AU36" s="31"/>
      <c r="AV36" s="67" t="s">
        <v>83</v>
      </c>
      <c r="AW36" s="31"/>
      <c r="AX36" s="31"/>
      <c r="AY36" s="32" t="s">
        <v>30</v>
      </c>
      <c r="AZ36" s="31"/>
      <c r="BA36" s="33"/>
    </row>
    <row r="37" spans="1:53" ht="12.75">
      <c r="A37" s="5"/>
      <c r="B37" s="64" t="s">
        <v>80</v>
      </c>
      <c r="C37" s="50">
        <f>G36^2</f>
        <v>9</v>
      </c>
      <c r="D37" s="65" t="s">
        <v>35</v>
      </c>
      <c r="E37" s="48"/>
      <c r="F37" s="50"/>
      <c r="G37" s="50"/>
      <c r="H37" s="16"/>
      <c r="I37" s="16"/>
      <c r="J37" s="16"/>
      <c r="K37" s="5"/>
      <c r="T37" s="38"/>
      <c r="V37" s="22" t="s">
        <v>33</v>
      </c>
      <c r="W37" s="9" t="s">
        <v>33</v>
      </c>
      <c r="X37" s="9" t="s">
        <v>66</v>
      </c>
      <c r="Y37" s="9" t="s">
        <v>67</v>
      </c>
      <c r="Z37" s="10" t="s">
        <v>68</v>
      </c>
      <c r="AA37" s="9" t="s">
        <v>70</v>
      </c>
      <c r="AB37" s="9" t="s">
        <v>72</v>
      </c>
      <c r="AC37" s="10" t="s">
        <v>71</v>
      </c>
      <c r="AD37" s="9" t="s">
        <v>69</v>
      </c>
      <c r="AE37" s="26" t="s">
        <v>74</v>
      </c>
      <c r="AG37" s="22" t="s">
        <v>33</v>
      </c>
      <c r="AH37" s="9" t="s">
        <v>33</v>
      </c>
      <c r="AI37" s="9" t="s">
        <v>66</v>
      </c>
      <c r="AJ37" s="9" t="s">
        <v>67</v>
      </c>
      <c r="AK37" s="10" t="s">
        <v>68</v>
      </c>
      <c r="AL37" s="9" t="s">
        <v>70</v>
      </c>
      <c r="AM37" s="9" t="s">
        <v>72</v>
      </c>
      <c r="AN37" s="10" t="s">
        <v>71</v>
      </c>
      <c r="AO37" s="9" t="s">
        <v>69</v>
      </c>
      <c r="AP37" s="26" t="s">
        <v>74</v>
      </c>
      <c r="AR37" s="22" t="s">
        <v>33</v>
      </c>
      <c r="AS37" s="9" t="s">
        <v>33</v>
      </c>
      <c r="AT37" s="9" t="s">
        <v>66</v>
      </c>
      <c r="AU37" s="9" t="s">
        <v>67</v>
      </c>
      <c r="AV37" s="10" t="s">
        <v>68</v>
      </c>
      <c r="AW37" s="9" t="s">
        <v>70</v>
      </c>
      <c r="AX37" s="9" t="s">
        <v>72</v>
      </c>
      <c r="AY37" s="10" t="s">
        <v>71</v>
      </c>
      <c r="AZ37" s="9" t="s">
        <v>69</v>
      </c>
      <c r="BA37" s="26" t="s">
        <v>74</v>
      </c>
    </row>
    <row r="38" spans="1:53" ht="12.75">
      <c r="A38" s="5"/>
      <c r="B38" s="64" t="s">
        <v>81</v>
      </c>
      <c r="C38" s="50">
        <f>G36^2*4</f>
        <v>36</v>
      </c>
      <c r="D38" s="65" t="s">
        <v>35</v>
      </c>
      <c r="E38" s="48"/>
      <c r="F38" s="50"/>
      <c r="G38" s="50"/>
      <c r="H38" s="16"/>
      <c r="I38" s="16"/>
      <c r="J38" s="16"/>
      <c r="K38" s="5"/>
      <c r="T38" s="38"/>
      <c r="V38" s="22" t="s">
        <v>64</v>
      </c>
      <c r="W38" s="12">
        <f>$H$8</f>
        <v>18.43494882292201</v>
      </c>
      <c r="X38" s="9">
        <v>0</v>
      </c>
      <c r="Y38" s="9">
        <v>7.5</v>
      </c>
      <c r="Z38" s="9">
        <v>0.5</v>
      </c>
      <c r="AA38" s="9">
        <v>0.5</v>
      </c>
      <c r="AB38" s="60">
        <f>Z38+(AA38-Z38)*($W38-$X38)/($Y38-$X38)</f>
        <v>0.5</v>
      </c>
      <c r="AC38" s="9">
        <v>-1.2</v>
      </c>
      <c r="AD38" s="9">
        <v>-1.7</v>
      </c>
      <c r="AE38" s="59">
        <f>AC38+(AD38-AC38)*($W38-$X38)/($Y38-$X38)</f>
        <v>-2.4289965881948006</v>
      </c>
      <c r="AG38" s="22" t="s">
        <v>64</v>
      </c>
      <c r="AH38" s="12">
        <f>$H$8</f>
        <v>18.43494882292201</v>
      </c>
      <c r="AI38" s="9">
        <v>0</v>
      </c>
      <c r="AJ38" s="9">
        <v>7.5</v>
      </c>
      <c r="AK38" s="9">
        <v>0.8</v>
      </c>
      <c r="AL38" s="9">
        <v>0.8</v>
      </c>
      <c r="AM38" s="60">
        <f>AK38+(AL38-AK38)*($W38-$X38)/($Y38-$X38)</f>
        <v>0.8</v>
      </c>
      <c r="AN38" s="9">
        <v>-1.8</v>
      </c>
      <c r="AO38" s="9">
        <v>-2.6</v>
      </c>
      <c r="AP38" s="59">
        <f>AN38+(AO38-AN38)*($W38-$X38)/($Y38-$X38)</f>
        <v>-3.7663945411116813</v>
      </c>
      <c r="AR38" s="22" t="s">
        <v>64</v>
      </c>
      <c r="AS38" s="12">
        <f>$H$8</f>
        <v>18.43494882292201</v>
      </c>
      <c r="AT38" s="9">
        <v>0</v>
      </c>
      <c r="AU38" s="9">
        <v>7.5</v>
      </c>
      <c r="AV38" s="9">
        <v>0.8</v>
      </c>
      <c r="AW38" s="9">
        <v>0.8</v>
      </c>
      <c r="AX38" s="60">
        <f>AV38+(AW38-AV38)*($W38-$X38)/($Y38-$X38)</f>
        <v>0.8</v>
      </c>
      <c r="AY38" s="9">
        <v>-1.8</v>
      </c>
      <c r="AZ38" s="9">
        <v>-2.6</v>
      </c>
      <c r="BA38" s="59">
        <f>AY38+(AZ38-AY38)*($W38-$X38)/($Y38-$X38)</f>
        <v>-3.7663945411116813</v>
      </c>
    </row>
    <row r="39" spans="1:53" ht="12.75">
      <c r="A39" s="5"/>
      <c r="B39" s="48"/>
      <c r="C39" s="48"/>
      <c r="D39" s="48"/>
      <c r="E39" s="48"/>
      <c r="F39" s="50"/>
      <c r="G39" s="50"/>
      <c r="H39" s="16"/>
      <c r="I39" s="16"/>
      <c r="J39" s="16"/>
      <c r="K39" s="5"/>
      <c r="L39" s="52" t="s">
        <v>87</v>
      </c>
      <c r="M39" s="48"/>
      <c r="P39" s="48" t="s">
        <v>57</v>
      </c>
      <c r="Q39" s="46"/>
      <c r="R39" s="17" t="s">
        <v>73</v>
      </c>
      <c r="S39" s="16"/>
      <c r="T39" s="38"/>
      <c r="V39" s="22" t="s">
        <v>65</v>
      </c>
      <c r="W39" s="12">
        <f>$H$8</f>
        <v>18.43494882292201</v>
      </c>
      <c r="X39" s="9">
        <v>7.5</v>
      </c>
      <c r="Y39" s="9">
        <v>15</v>
      </c>
      <c r="Z39" s="9">
        <v>0.5</v>
      </c>
      <c r="AA39" s="9">
        <v>0.5</v>
      </c>
      <c r="AB39" s="60">
        <f>Z39+(AA39-Z39)*($W39-$X39)/($Y39-$X39)</f>
        <v>0.5</v>
      </c>
      <c r="AC39" s="9">
        <v>-1.7</v>
      </c>
      <c r="AD39" s="9">
        <v>-1.6</v>
      </c>
      <c r="AE39" s="59">
        <f>AC39+(AD39-AC39)*($W39-$X39)/($Y39-$X39)</f>
        <v>-1.55420068236104</v>
      </c>
      <c r="AG39" s="22" t="s">
        <v>65</v>
      </c>
      <c r="AH39" s="12">
        <f>$H$8</f>
        <v>18.43494882292201</v>
      </c>
      <c r="AI39" s="9">
        <v>7.5</v>
      </c>
      <c r="AJ39" s="9">
        <v>15</v>
      </c>
      <c r="AK39" s="9">
        <v>0.8</v>
      </c>
      <c r="AL39" s="9">
        <v>0.8</v>
      </c>
      <c r="AM39" s="60">
        <f>AK39+(AL39-AK39)*($W39-$X39)/($Y39-$X39)</f>
        <v>0.8</v>
      </c>
      <c r="AN39" s="9">
        <v>-2.6</v>
      </c>
      <c r="AO39" s="9">
        <v>-2.4</v>
      </c>
      <c r="AP39" s="59">
        <f>AN39+(AO39-AN39)*($W39-$X39)/($Y39-$X39)</f>
        <v>-2.3084013647220796</v>
      </c>
      <c r="AR39" s="22" t="s">
        <v>65</v>
      </c>
      <c r="AS39" s="12">
        <f>$H$8</f>
        <v>18.43494882292201</v>
      </c>
      <c r="AT39" s="9">
        <v>7.5</v>
      </c>
      <c r="AU39" s="9">
        <v>15</v>
      </c>
      <c r="AV39" s="9">
        <v>0.8</v>
      </c>
      <c r="AW39" s="9">
        <v>0.8</v>
      </c>
      <c r="AX39" s="60">
        <f>AV39+(AW39-AV39)*($W39-$X39)/($Y39-$X39)</f>
        <v>0.8</v>
      </c>
      <c r="AY39" s="9">
        <v>-2.6</v>
      </c>
      <c r="AZ39" s="9">
        <v>-2.4</v>
      </c>
      <c r="BA39" s="59">
        <f>AY39+(AZ39-AY39)*($W39-$X39)/($Y39-$X39)</f>
        <v>-2.3084013647220796</v>
      </c>
    </row>
    <row r="40" spans="1:53" ht="12.75">
      <c r="A40" s="5"/>
      <c r="B40" s="48"/>
      <c r="C40" s="48"/>
      <c r="D40" s="48"/>
      <c r="E40" s="48"/>
      <c r="F40" s="50"/>
      <c r="G40" s="50"/>
      <c r="H40" s="16"/>
      <c r="I40" s="16"/>
      <c r="J40" s="16"/>
      <c r="K40" s="5"/>
      <c r="L40" s="44" t="s">
        <v>43</v>
      </c>
      <c r="M40" s="44" t="s">
        <v>46</v>
      </c>
      <c r="N40" s="45" t="s">
        <v>51</v>
      </c>
      <c r="O40" s="45" t="s">
        <v>52</v>
      </c>
      <c r="P40" s="45" t="s">
        <v>53</v>
      </c>
      <c r="Q40" s="45" t="s">
        <v>54</v>
      </c>
      <c r="R40" s="45" t="s">
        <v>55</v>
      </c>
      <c r="S40" s="45" t="s">
        <v>56</v>
      </c>
      <c r="T40" s="38"/>
      <c r="V40" s="22" t="s">
        <v>91</v>
      </c>
      <c r="W40" s="12">
        <f>$H$8</f>
        <v>18.43494882292201</v>
      </c>
      <c r="X40" s="9">
        <v>15</v>
      </c>
      <c r="Y40" s="9">
        <v>30</v>
      </c>
      <c r="Z40" s="9">
        <v>0.5</v>
      </c>
      <c r="AA40" s="9">
        <v>0.5</v>
      </c>
      <c r="AB40" s="60">
        <f>Z40+(AA40-Z40)*($W40-$X40)/($Y40-$X40)</f>
        <v>0.5</v>
      </c>
      <c r="AC40" s="9">
        <v>-1.6</v>
      </c>
      <c r="AD40" s="9">
        <v>-1.2</v>
      </c>
      <c r="AE40" s="59">
        <f>AC40+(AD40-AC40)*($W40-$X40)/($Y40-$X40)</f>
        <v>-1.5084013647220798</v>
      </c>
      <c r="AG40" s="22" t="s">
        <v>91</v>
      </c>
      <c r="AH40" s="12">
        <f>$H$8</f>
        <v>18.43494882292201</v>
      </c>
      <c r="AI40" s="9">
        <v>15</v>
      </c>
      <c r="AJ40" s="9">
        <v>30</v>
      </c>
      <c r="AK40" s="9">
        <v>0.8</v>
      </c>
      <c r="AL40" s="9">
        <v>0.8</v>
      </c>
      <c r="AM40" s="60">
        <f>AK40+(AL40-AK40)*($W40-$X40)/($Y40-$X40)</f>
        <v>0.8</v>
      </c>
      <c r="AN40" s="9">
        <v>-2.4</v>
      </c>
      <c r="AO40" s="9">
        <v>-1.8</v>
      </c>
      <c r="AP40" s="59">
        <f>AN40+(AO40-AN40)*($W40-$X40)/($Y40-$X40)</f>
        <v>-2.2626020470831194</v>
      </c>
      <c r="AR40" s="22" t="s">
        <v>91</v>
      </c>
      <c r="AS40" s="12">
        <f>$H$8</f>
        <v>18.43494882292201</v>
      </c>
      <c r="AT40" s="9">
        <v>15</v>
      </c>
      <c r="AU40" s="9">
        <v>30</v>
      </c>
      <c r="AV40" s="9">
        <v>0.8</v>
      </c>
      <c r="AW40" s="9">
        <v>0.8</v>
      </c>
      <c r="AX40" s="60">
        <f>AV40+(AW40-AV40)*($W40-$X40)/($Y40-$X40)</f>
        <v>0.8</v>
      </c>
      <c r="AY40" s="9">
        <v>-2.4</v>
      </c>
      <c r="AZ40" s="9">
        <v>-1.8</v>
      </c>
      <c r="BA40" s="59">
        <f>AY40+(AZ40-AY40)*($W40-$X40)/($Y40-$X40)</f>
        <v>-2.2626020470831194</v>
      </c>
    </row>
    <row r="41" spans="1:53" ht="12.75">
      <c r="A41" s="5"/>
      <c r="B41" s="76" t="s">
        <v>99</v>
      </c>
      <c r="C41" s="76"/>
      <c r="D41" s="76"/>
      <c r="E41" s="76"/>
      <c r="F41" s="76"/>
      <c r="G41" s="76"/>
      <c r="H41" s="76"/>
      <c r="I41" s="76"/>
      <c r="J41" s="76"/>
      <c r="K41" s="5"/>
      <c r="L41" s="48" t="s">
        <v>47</v>
      </c>
      <c r="M41" s="50">
        <f>Q4</f>
        <v>147</v>
      </c>
      <c r="N41" s="53">
        <f aca="true" t="shared" si="6" ref="N41:S41">$F$16*N32*$F$7</f>
        <v>14.307500963513975</v>
      </c>
      <c r="O41" s="53">
        <f t="shared" si="6"/>
        <v>-43.1629079582539</v>
      </c>
      <c r="P41" s="53">
        <f t="shared" si="6"/>
        <v>14.307500963513975</v>
      </c>
      <c r="Q41" s="53">
        <f t="shared" si="6"/>
        <v>-43.1629079582539</v>
      </c>
      <c r="R41" s="53">
        <f t="shared" si="6"/>
        <v>14.307500963513975</v>
      </c>
      <c r="S41" s="53">
        <f t="shared" si="6"/>
        <v>-43.1629079582539</v>
      </c>
      <c r="T41" s="38"/>
      <c r="V41" s="23" t="s">
        <v>92</v>
      </c>
      <c r="W41" s="29">
        <f>$H$8</f>
        <v>18.43494882292201</v>
      </c>
      <c r="X41" s="24">
        <v>30</v>
      </c>
      <c r="Y41" s="24">
        <v>45</v>
      </c>
      <c r="Z41" s="24">
        <v>0.5</v>
      </c>
      <c r="AA41" s="24">
        <v>0.5</v>
      </c>
      <c r="AB41" s="61">
        <f>Z41+(AA41-Z41)*($W41-$X41)/($Y41-$X41)</f>
        <v>0.5</v>
      </c>
      <c r="AC41" s="24">
        <v>-1.2</v>
      </c>
      <c r="AD41" s="24">
        <v>-1.2</v>
      </c>
      <c r="AE41" s="62">
        <f>AC41+(AD41-AC41)*($W41-$X41)/($Y41-$X41)</f>
        <v>-1.2</v>
      </c>
      <c r="AG41" s="23" t="s">
        <v>92</v>
      </c>
      <c r="AH41" s="29">
        <f>$H$8</f>
        <v>18.43494882292201</v>
      </c>
      <c r="AI41" s="24">
        <v>30</v>
      </c>
      <c r="AJ41" s="24">
        <v>45</v>
      </c>
      <c r="AK41" s="24">
        <v>0.8</v>
      </c>
      <c r="AL41" s="24">
        <v>0.8</v>
      </c>
      <c r="AM41" s="61">
        <f>AK41+(AL41-AK41)*($W41-$X41)/($Y41-$X41)</f>
        <v>0.8</v>
      </c>
      <c r="AN41" s="24">
        <v>-1.8</v>
      </c>
      <c r="AO41" s="24">
        <v>-1.8</v>
      </c>
      <c r="AP41" s="62">
        <f>AN41+(AO41-AN41)*($W41-$X41)/($Y41-$X41)</f>
        <v>-1.8</v>
      </c>
      <c r="AR41" s="23" t="s">
        <v>92</v>
      </c>
      <c r="AS41" s="29">
        <f>$H$8</f>
        <v>18.43494882292201</v>
      </c>
      <c r="AT41" s="24">
        <v>30</v>
      </c>
      <c r="AU41" s="24">
        <v>45</v>
      </c>
      <c r="AV41" s="24">
        <v>0.8</v>
      </c>
      <c r="AW41" s="24">
        <v>0.8</v>
      </c>
      <c r="AX41" s="61">
        <f>AV41+(AW41-AV41)*($W41-$X41)/($Y41-$X41)</f>
        <v>0.8</v>
      </c>
      <c r="AY41" s="24">
        <v>-1.8</v>
      </c>
      <c r="AZ41" s="24">
        <v>-1.8</v>
      </c>
      <c r="BA41" s="62">
        <f>AY41+(AZ41-AY41)*($W41-$X41)/($Y41-$X41)</f>
        <v>-1.8</v>
      </c>
    </row>
    <row r="42" spans="1:53" ht="12.75">
      <c r="A42" s="5"/>
      <c r="B42" s="76"/>
      <c r="C42" s="76"/>
      <c r="D42" s="76"/>
      <c r="E42" s="76"/>
      <c r="F42" s="76"/>
      <c r="G42" s="76"/>
      <c r="H42" s="76"/>
      <c r="I42" s="76"/>
      <c r="J42" s="76"/>
      <c r="K42" s="5"/>
      <c r="L42" s="48" t="s">
        <v>48</v>
      </c>
      <c r="M42" s="50">
        <f>Q5</f>
        <v>4</v>
      </c>
      <c r="N42" s="53">
        <f aca="true" t="shared" si="7" ref="N42:S42">$F$16*N33*$F$7</f>
        <v>14.307500963513975</v>
      </c>
      <c r="O42" s="53">
        <f t="shared" si="7"/>
        <v>-43.1629079582539</v>
      </c>
      <c r="P42" s="53">
        <f t="shared" si="7"/>
        <v>22.892001541622363</v>
      </c>
      <c r="Q42" s="53">
        <f t="shared" si="7"/>
        <v>-64.74436193738084</v>
      </c>
      <c r="R42" s="53">
        <f t="shared" si="7"/>
        <v>28.61500192702795</v>
      </c>
      <c r="S42" s="53">
        <f t="shared" si="7"/>
        <v>-86.3258159165078</v>
      </c>
      <c r="T42" s="38"/>
      <c r="AB42" s="63">
        <f>IF($H$8&gt;30,AB41,IF($H$8&gt;15,AB40,IF($H$8&gt;7.5,AB39,AB38)))</f>
        <v>0.5</v>
      </c>
      <c r="AE42" s="63">
        <f>IF($H$8&gt;30,AE41,IF($H$8&gt;15,AE40,IF($H$8&gt;7.5,AE39,AE38)))</f>
        <v>-1.5084013647220798</v>
      </c>
      <c r="AM42" s="63">
        <f>IF($H$8&gt;30,AM41,IF($H$8&gt;15,AM40,IF($H$8&gt;7.5,AM39,AM38)))</f>
        <v>0.8</v>
      </c>
      <c r="AP42" s="63">
        <f>IF($H$8&gt;30,AP41,IF($H$8&gt;15,AP40,IF($H$8&gt;7.5,AP39,AP38)))</f>
        <v>-2.2626020470831194</v>
      </c>
      <c r="AX42" s="63">
        <f>IF($H$8&gt;30,AX41,IF($H$8&gt;15,AX40,IF($H$8&gt;7.5,AX39,AX38)))</f>
        <v>0.8</v>
      </c>
      <c r="BA42" s="63">
        <f>IF($H$8&gt;30,BA41,IF($H$8&gt;15,BA40,IF($H$8&gt;7.5,BA39,BA38)))</f>
        <v>-2.2626020470831194</v>
      </c>
    </row>
    <row r="43" spans="1:20" ht="12.75">
      <c r="A43" s="5"/>
      <c r="B43" s="48"/>
      <c r="C43" s="48"/>
      <c r="D43" s="48"/>
      <c r="E43" s="48"/>
      <c r="F43" s="50"/>
      <c r="G43" s="50"/>
      <c r="H43" s="16"/>
      <c r="I43" s="16"/>
      <c r="J43" s="5"/>
      <c r="K43" s="5"/>
      <c r="L43" s="48" t="s">
        <v>82</v>
      </c>
      <c r="M43" s="50">
        <f>Q6</f>
        <v>9</v>
      </c>
      <c r="N43" s="50">
        <f aca="true" t="shared" si="8" ref="N43:S43">$F$16*N34*$F$7</f>
        <v>14.307500963513975</v>
      </c>
      <c r="O43" s="50">
        <f t="shared" si="8"/>
        <v>-43.1629079582539</v>
      </c>
      <c r="P43" s="50">
        <f t="shared" si="8"/>
        <v>22.892001541622363</v>
      </c>
      <c r="Q43" s="50">
        <f t="shared" si="8"/>
        <v>-64.74436193738084</v>
      </c>
      <c r="R43" s="50">
        <f t="shared" si="8"/>
        <v>28.61500192702795</v>
      </c>
      <c r="S43" s="50">
        <f t="shared" si="8"/>
        <v>-86.3258159165078</v>
      </c>
      <c r="T43" s="38"/>
    </row>
    <row r="44" spans="1:53" ht="12.75">
      <c r="A44" s="5"/>
      <c r="B44" s="48"/>
      <c r="C44" s="48"/>
      <c r="D44" s="48"/>
      <c r="E44" s="48"/>
      <c r="F44" s="50"/>
      <c r="G44" s="50"/>
      <c r="H44" s="16"/>
      <c r="I44" s="16"/>
      <c r="J44" s="5"/>
      <c r="K44" s="5"/>
      <c r="L44" s="48" t="s">
        <v>83</v>
      </c>
      <c r="M44" s="50" t="str">
        <f>Q7</f>
        <v>~22.5</v>
      </c>
      <c r="N44" s="50">
        <f aca="true" t="shared" si="9" ref="N44:S44">$F$16*N35*$F$7</f>
        <v>14.307500963513975</v>
      </c>
      <c r="O44" s="50">
        <f t="shared" si="9"/>
        <v>-43.1629079582539</v>
      </c>
      <c r="P44" s="50">
        <f t="shared" si="9"/>
        <v>22.892001541622363</v>
      </c>
      <c r="Q44" s="50">
        <f t="shared" si="9"/>
        <v>-64.74436193738084</v>
      </c>
      <c r="R44" s="50">
        <f t="shared" si="9"/>
        <v>22.892001541622363</v>
      </c>
      <c r="S44" s="50">
        <f t="shared" si="9"/>
        <v>-64.74436193738084</v>
      </c>
      <c r="T44" s="38"/>
      <c r="V44" s="30" t="s">
        <v>96</v>
      </c>
      <c r="W44" s="31"/>
      <c r="X44" s="31"/>
      <c r="Y44" s="31"/>
      <c r="Z44" s="67" t="s">
        <v>84</v>
      </c>
      <c r="AA44" s="31"/>
      <c r="AB44" s="31"/>
      <c r="AC44" s="32" t="s">
        <v>30</v>
      </c>
      <c r="AD44" s="31"/>
      <c r="AE44" s="33"/>
      <c r="AG44" s="30" t="s">
        <v>97</v>
      </c>
      <c r="AH44" s="31"/>
      <c r="AI44" s="31"/>
      <c r="AJ44" s="31"/>
      <c r="AK44" s="67" t="s">
        <v>84</v>
      </c>
      <c r="AL44" s="31"/>
      <c r="AM44" s="31"/>
      <c r="AN44" s="32" t="s">
        <v>30</v>
      </c>
      <c r="AO44" s="31"/>
      <c r="AP44" s="33"/>
      <c r="AR44" s="30" t="s">
        <v>98</v>
      </c>
      <c r="AS44" s="31"/>
      <c r="AT44" s="31"/>
      <c r="AU44" s="31"/>
      <c r="AV44" s="67" t="s">
        <v>84</v>
      </c>
      <c r="AW44" s="31"/>
      <c r="AX44" s="31"/>
      <c r="AY44" s="32" t="s">
        <v>30</v>
      </c>
      <c r="AZ44" s="31"/>
      <c r="BA44" s="33"/>
    </row>
    <row r="45" spans="1:53" ht="12.75">
      <c r="A45" s="5"/>
      <c r="B45" s="48"/>
      <c r="C45" s="48"/>
      <c r="D45" s="48"/>
      <c r="E45" s="48"/>
      <c r="F45" s="50"/>
      <c r="G45" s="50"/>
      <c r="H45" s="16"/>
      <c r="I45" s="16"/>
      <c r="J45" s="25"/>
      <c r="K45" s="5"/>
      <c r="L45" s="48" t="s">
        <v>84</v>
      </c>
      <c r="M45" s="50">
        <f>Q8</f>
        <v>36</v>
      </c>
      <c r="N45" s="50">
        <f aca="true" t="shared" si="10" ref="N45:S45">$F$16*N36*$F$7</f>
        <v>14.307500963513975</v>
      </c>
      <c r="O45" s="50">
        <f t="shared" si="10"/>
        <v>-43.1629079582539</v>
      </c>
      <c r="P45" s="50">
        <f t="shared" si="10"/>
        <v>14.307500963513975</v>
      </c>
      <c r="Q45" s="50">
        <f t="shared" si="10"/>
        <v>-43.1629079582539</v>
      </c>
      <c r="R45" s="50">
        <f t="shared" si="10"/>
        <v>14.307500963513975</v>
      </c>
      <c r="S45" s="50">
        <f t="shared" si="10"/>
        <v>-43.1629079582539</v>
      </c>
      <c r="T45" s="38"/>
      <c r="V45" s="22" t="s">
        <v>33</v>
      </c>
      <c r="W45" s="9" t="s">
        <v>33</v>
      </c>
      <c r="X45" s="9" t="s">
        <v>66</v>
      </c>
      <c r="Y45" s="9" t="s">
        <v>67</v>
      </c>
      <c r="Z45" s="10" t="s">
        <v>68</v>
      </c>
      <c r="AA45" s="9" t="s">
        <v>70</v>
      </c>
      <c r="AB45" s="9" t="s">
        <v>72</v>
      </c>
      <c r="AC45" s="10" t="s">
        <v>71</v>
      </c>
      <c r="AD45" s="9" t="s">
        <v>69</v>
      </c>
      <c r="AE45" s="26" t="s">
        <v>74</v>
      </c>
      <c r="AG45" s="22" t="s">
        <v>33</v>
      </c>
      <c r="AH45" s="9" t="s">
        <v>33</v>
      </c>
      <c r="AI45" s="9" t="s">
        <v>66</v>
      </c>
      <c r="AJ45" s="9" t="s">
        <v>67</v>
      </c>
      <c r="AK45" s="10" t="s">
        <v>68</v>
      </c>
      <c r="AL45" s="9" t="s">
        <v>70</v>
      </c>
      <c r="AM45" s="9" t="s">
        <v>72</v>
      </c>
      <c r="AN45" s="10" t="s">
        <v>71</v>
      </c>
      <c r="AO45" s="9" t="s">
        <v>69</v>
      </c>
      <c r="AP45" s="26" t="s">
        <v>74</v>
      </c>
      <c r="AR45" s="22" t="s">
        <v>33</v>
      </c>
      <c r="AS45" s="9" t="s">
        <v>33</v>
      </c>
      <c r="AT45" s="9" t="s">
        <v>66</v>
      </c>
      <c r="AU45" s="9" t="s">
        <v>67</v>
      </c>
      <c r="AV45" s="10" t="s">
        <v>68</v>
      </c>
      <c r="AW45" s="9" t="s">
        <v>70</v>
      </c>
      <c r="AX45" s="9" t="s">
        <v>72</v>
      </c>
      <c r="AY45" s="10" t="s">
        <v>71</v>
      </c>
      <c r="AZ45" s="9" t="s">
        <v>69</v>
      </c>
      <c r="BA45" s="26" t="s">
        <v>74</v>
      </c>
    </row>
    <row r="46" spans="1:53" ht="12.75">
      <c r="A46" s="5"/>
      <c r="B46" s="48"/>
      <c r="C46" s="48"/>
      <c r="D46" s="48"/>
      <c r="E46" s="48"/>
      <c r="F46" s="50"/>
      <c r="G46" s="50"/>
      <c r="H46" s="16"/>
      <c r="I46" s="16"/>
      <c r="J46" s="16"/>
      <c r="K46" s="5"/>
      <c r="T46" s="38"/>
      <c r="V46" s="22" t="s">
        <v>64</v>
      </c>
      <c r="W46" s="12">
        <f>$H$8</f>
        <v>18.43494882292201</v>
      </c>
      <c r="X46" s="9">
        <v>0</v>
      </c>
      <c r="Y46" s="9">
        <v>7.5</v>
      </c>
      <c r="Z46" s="9">
        <v>0.5</v>
      </c>
      <c r="AA46" s="9">
        <v>0.5</v>
      </c>
      <c r="AB46" s="60">
        <f>Z46+(AA46-Z46)*($W46-$X46)/($Y46-$X46)</f>
        <v>0.5</v>
      </c>
      <c r="AC46" s="9">
        <v>-1.2</v>
      </c>
      <c r="AD46" s="9">
        <v>-1.7</v>
      </c>
      <c r="AE46" s="59">
        <f>AC46+(AD46-AC46)*($W46-$X46)/($Y46-$X46)</f>
        <v>-2.4289965881948006</v>
      </c>
      <c r="AG46" s="22" t="s">
        <v>64</v>
      </c>
      <c r="AH46" s="12">
        <f>$H$8</f>
        <v>18.43494882292201</v>
      </c>
      <c r="AI46" s="9">
        <v>0</v>
      </c>
      <c r="AJ46" s="9">
        <v>7.5</v>
      </c>
      <c r="AK46" s="9">
        <v>0.5</v>
      </c>
      <c r="AL46" s="9">
        <v>0.5</v>
      </c>
      <c r="AM46" s="60">
        <f>AK46+(AL46-AK46)*($W46-$X46)/($Y46-$X46)</f>
        <v>0.5</v>
      </c>
      <c r="AN46" s="9">
        <v>-1.2</v>
      </c>
      <c r="AO46" s="9">
        <v>-1.7</v>
      </c>
      <c r="AP46" s="59">
        <f>AN46+(AO46-AN46)*($W46-$X46)/($Y46-$X46)</f>
        <v>-2.4289965881948006</v>
      </c>
      <c r="AR46" s="22" t="s">
        <v>64</v>
      </c>
      <c r="AS46" s="12">
        <f>$H$8</f>
        <v>18.43494882292201</v>
      </c>
      <c r="AT46" s="9">
        <v>0</v>
      </c>
      <c r="AU46" s="9">
        <v>7.5</v>
      </c>
      <c r="AV46" s="9">
        <v>0.5</v>
      </c>
      <c r="AW46" s="9">
        <v>0.5</v>
      </c>
      <c r="AX46" s="60">
        <f>AV46+(AW46-AV46)*($W46-$X46)/($Y46-$X46)</f>
        <v>0.5</v>
      </c>
      <c r="AY46" s="9">
        <v>-1.2</v>
      </c>
      <c r="AZ46" s="9">
        <v>-1.7</v>
      </c>
      <c r="BA46" s="59">
        <f>AY46+(AZ46-AY46)*($W46-$X46)/($Y46-$X46)</f>
        <v>-2.4289965881948006</v>
      </c>
    </row>
    <row r="47" spans="1:53" ht="12.75">
      <c r="A47" s="5"/>
      <c r="B47" s="48"/>
      <c r="C47" s="48"/>
      <c r="D47" s="48"/>
      <c r="E47" s="48"/>
      <c r="F47" s="50"/>
      <c r="G47" s="50"/>
      <c r="H47" s="16"/>
      <c r="I47" s="16"/>
      <c r="J47" s="16"/>
      <c r="K47" s="5"/>
      <c r="T47" s="5"/>
      <c r="V47" s="22" t="s">
        <v>65</v>
      </c>
      <c r="W47" s="12">
        <f>$H$8</f>
        <v>18.43494882292201</v>
      </c>
      <c r="X47" s="9">
        <v>7.5</v>
      </c>
      <c r="Y47" s="9">
        <v>15</v>
      </c>
      <c r="Z47" s="9">
        <v>0.5</v>
      </c>
      <c r="AA47" s="9">
        <v>0.5</v>
      </c>
      <c r="AB47" s="60">
        <f>Z47+(AA47-Z47)*($W47-$X47)/($Y47-$X47)</f>
        <v>0.5</v>
      </c>
      <c r="AC47" s="9">
        <v>-1.7</v>
      </c>
      <c r="AD47" s="9">
        <v>-1.6</v>
      </c>
      <c r="AE47" s="59">
        <f>AC47+(AD47-AC47)*($W47-$X47)/($Y47-$X47)</f>
        <v>-1.55420068236104</v>
      </c>
      <c r="AG47" s="22" t="s">
        <v>65</v>
      </c>
      <c r="AH47" s="12">
        <f>$H$8</f>
        <v>18.43494882292201</v>
      </c>
      <c r="AI47" s="9">
        <v>7.5</v>
      </c>
      <c r="AJ47" s="9">
        <v>15</v>
      </c>
      <c r="AK47" s="9">
        <v>0.5</v>
      </c>
      <c r="AL47" s="9">
        <v>0.5</v>
      </c>
      <c r="AM47" s="60">
        <f>AK47+(AL47-AK47)*($W47-$X47)/($Y47-$X47)</f>
        <v>0.5</v>
      </c>
      <c r="AN47" s="9">
        <v>-1.7</v>
      </c>
      <c r="AO47" s="9">
        <v>-1.6</v>
      </c>
      <c r="AP47" s="59">
        <f>AN47+(AO47-AN47)*($W47-$X47)/($Y47-$X47)</f>
        <v>-1.55420068236104</v>
      </c>
      <c r="AR47" s="22" t="s">
        <v>65</v>
      </c>
      <c r="AS47" s="12">
        <f>$H$8</f>
        <v>18.43494882292201</v>
      </c>
      <c r="AT47" s="9">
        <v>7.5</v>
      </c>
      <c r="AU47" s="9">
        <v>15</v>
      </c>
      <c r="AV47" s="9">
        <v>0.5</v>
      </c>
      <c r="AW47" s="9">
        <v>0.5</v>
      </c>
      <c r="AX47" s="60">
        <f>AV47+(AW47-AV47)*($W47-$X47)/($Y47-$X47)</f>
        <v>0.5</v>
      </c>
      <c r="AY47" s="9">
        <v>-1.7</v>
      </c>
      <c r="AZ47" s="9">
        <v>-1.6</v>
      </c>
      <c r="BA47" s="59">
        <f>AY47+(AZ47-AY47)*($W47-$X47)/($Y47-$X47)</f>
        <v>-1.55420068236104</v>
      </c>
    </row>
    <row r="48" spans="1:53" ht="12.75">
      <c r="A48" s="5"/>
      <c r="B48" s="48"/>
      <c r="C48" s="48"/>
      <c r="D48" s="48"/>
      <c r="E48" s="48"/>
      <c r="F48" s="50"/>
      <c r="G48" s="50"/>
      <c r="H48" s="16"/>
      <c r="I48" s="16"/>
      <c r="J48" s="16"/>
      <c r="K48" s="5"/>
      <c r="T48" s="5"/>
      <c r="V48" s="22" t="s">
        <v>91</v>
      </c>
      <c r="W48" s="12">
        <f>$H$8</f>
        <v>18.43494882292201</v>
      </c>
      <c r="X48" s="9">
        <v>15</v>
      </c>
      <c r="Y48" s="9">
        <v>30</v>
      </c>
      <c r="Z48" s="9">
        <v>0.5</v>
      </c>
      <c r="AA48" s="9">
        <v>0.5</v>
      </c>
      <c r="AB48" s="60">
        <f>Z48+(AA48-Z48)*($W48-$X48)/($Y48-$X48)</f>
        <v>0.5</v>
      </c>
      <c r="AC48" s="9">
        <v>-1.6</v>
      </c>
      <c r="AD48" s="9">
        <v>-1.2</v>
      </c>
      <c r="AE48" s="59">
        <f>AC48+(AD48-AC48)*($W48-$X48)/($Y48-$X48)</f>
        <v>-1.5084013647220798</v>
      </c>
      <c r="AG48" s="22" t="s">
        <v>91</v>
      </c>
      <c r="AH48" s="12">
        <f>$H$8</f>
        <v>18.43494882292201</v>
      </c>
      <c r="AI48" s="9">
        <v>15</v>
      </c>
      <c r="AJ48" s="9">
        <v>30</v>
      </c>
      <c r="AK48" s="9">
        <v>0.5</v>
      </c>
      <c r="AL48" s="9">
        <v>0.5</v>
      </c>
      <c r="AM48" s="60">
        <f>AK48+(AL48-AK48)*($W48-$X48)/($Y48-$X48)</f>
        <v>0.5</v>
      </c>
      <c r="AN48" s="9">
        <v>-1.6</v>
      </c>
      <c r="AO48" s="9">
        <v>-1.2</v>
      </c>
      <c r="AP48" s="59">
        <f>AN48+(AO48-AN48)*($W48-$X48)/($Y48-$X48)</f>
        <v>-1.5084013647220798</v>
      </c>
      <c r="AR48" s="22" t="s">
        <v>91</v>
      </c>
      <c r="AS48" s="12">
        <f>$H$8</f>
        <v>18.43494882292201</v>
      </c>
      <c r="AT48" s="9">
        <v>15</v>
      </c>
      <c r="AU48" s="9">
        <v>30</v>
      </c>
      <c r="AV48" s="9">
        <v>0.5</v>
      </c>
      <c r="AW48" s="9">
        <v>0.5</v>
      </c>
      <c r="AX48" s="60">
        <f>AV48+(AW48-AV48)*($W48-$X48)/($Y48-$X48)</f>
        <v>0.5</v>
      </c>
      <c r="AY48" s="9">
        <v>-1.6</v>
      </c>
      <c r="AZ48" s="9">
        <v>-1.2</v>
      </c>
      <c r="BA48" s="59">
        <f>AY48+(AZ48-AY48)*($W48-$X48)/($Y48-$X48)</f>
        <v>-1.5084013647220798</v>
      </c>
    </row>
    <row r="49" spans="1:53" ht="12.75">
      <c r="A49" s="5"/>
      <c r="B49" s="48"/>
      <c r="C49" s="48"/>
      <c r="D49" s="48"/>
      <c r="E49" s="48"/>
      <c r="F49" s="50"/>
      <c r="G49" s="50"/>
      <c r="H49" s="16"/>
      <c r="I49" s="16"/>
      <c r="J49" s="16"/>
      <c r="K49" s="5"/>
      <c r="T49" s="5"/>
      <c r="V49" s="23" t="s">
        <v>92</v>
      </c>
      <c r="W49" s="29">
        <f>$H$8</f>
        <v>18.43494882292201</v>
      </c>
      <c r="X49" s="24">
        <v>30</v>
      </c>
      <c r="Y49" s="24">
        <v>45</v>
      </c>
      <c r="Z49" s="24">
        <v>0.5</v>
      </c>
      <c r="AA49" s="24">
        <v>0.5</v>
      </c>
      <c r="AB49" s="61">
        <f>Z49+(AA49-Z49)*($W49-$X49)/($Y49-$X49)</f>
        <v>0.5</v>
      </c>
      <c r="AC49" s="24">
        <v>-1.2</v>
      </c>
      <c r="AD49" s="24">
        <v>-1.2</v>
      </c>
      <c r="AE49" s="62">
        <f>AC49+(AD49-AC49)*($W49-$X49)/($Y49-$X49)</f>
        <v>-1.2</v>
      </c>
      <c r="AG49" s="23" t="s">
        <v>92</v>
      </c>
      <c r="AH49" s="29">
        <f>$H$8</f>
        <v>18.43494882292201</v>
      </c>
      <c r="AI49" s="24">
        <v>30</v>
      </c>
      <c r="AJ49" s="24">
        <v>45</v>
      </c>
      <c r="AK49" s="24">
        <v>0.5</v>
      </c>
      <c r="AL49" s="24">
        <v>0.5</v>
      </c>
      <c r="AM49" s="61">
        <f>AK49+(AL49-AK49)*($W49-$X49)/($Y49-$X49)</f>
        <v>0.5</v>
      </c>
      <c r="AN49" s="24">
        <v>-1.2</v>
      </c>
      <c r="AO49" s="24">
        <v>-1.2</v>
      </c>
      <c r="AP49" s="62">
        <f>AN49+(AO49-AN49)*($W49-$X49)/($Y49-$X49)</f>
        <v>-1.2</v>
      </c>
      <c r="AR49" s="23" t="s">
        <v>92</v>
      </c>
      <c r="AS49" s="29">
        <f>$H$8</f>
        <v>18.43494882292201</v>
      </c>
      <c r="AT49" s="24">
        <v>30</v>
      </c>
      <c r="AU49" s="24">
        <v>45</v>
      </c>
      <c r="AV49" s="24">
        <v>0.5</v>
      </c>
      <c r="AW49" s="24">
        <v>0.5</v>
      </c>
      <c r="AX49" s="61">
        <f>AV49+(AW49-AV49)*($W49-$X49)/($Y49-$X49)</f>
        <v>0.5</v>
      </c>
      <c r="AY49" s="24">
        <v>-1.2</v>
      </c>
      <c r="AZ49" s="24">
        <v>-1.2</v>
      </c>
      <c r="BA49" s="62">
        <f>AY49+(AZ49-AY49)*($W49-$X49)/($Y49-$X49)</f>
        <v>-1.2</v>
      </c>
    </row>
    <row r="50" spans="1:53" ht="12.75">
      <c r="A50" s="5"/>
      <c r="B50" s="48"/>
      <c r="C50" s="48"/>
      <c r="D50" s="48"/>
      <c r="E50" s="48"/>
      <c r="F50" s="50"/>
      <c r="G50" s="50"/>
      <c r="H50" s="16"/>
      <c r="I50" s="16"/>
      <c r="J50" s="16"/>
      <c r="K50" s="5"/>
      <c r="T50" s="5"/>
      <c r="AB50" s="63">
        <f>IF($H$8&gt;30,AB49,IF($H$8&gt;15,AB48,IF($H$8&gt;7.5,AB47,AB46)))</f>
        <v>0.5</v>
      </c>
      <c r="AE50" s="63">
        <f>IF($H$8&gt;30,AE49,IF($H$8&gt;15,AE48,IF($H$8&gt;7.5,AE47,AE46)))</f>
        <v>-1.5084013647220798</v>
      </c>
      <c r="AM50" s="63">
        <f>IF($H$8&gt;30,AM49,IF($H$8&gt;15,AM48,IF($H$8&gt;7.5,AM47,AM46)))</f>
        <v>0.5</v>
      </c>
      <c r="AP50" s="63">
        <f>IF($H$8&gt;30,AP49,IF($H$8&gt;15,AP48,IF($H$8&gt;7.5,AP47,AP46)))</f>
        <v>-1.5084013647220798</v>
      </c>
      <c r="AX50" s="63">
        <f>IF($H$8&gt;30,AX49,IF($H$8&gt;15,AX48,IF($H$8&gt;7.5,AX47,AX46)))</f>
        <v>0.5</v>
      </c>
      <c r="BA50" s="63">
        <f>IF($H$8&gt;30,BA49,IF($H$8&gt;15,BA48,IF($H$8&gt;7.5,BA47,BA46)))</f>
        <v>-1.5084013647220798</v>
      </c>
    </row>
    <row r="51" spans="1:20" ht="12.75">
      <c r="A51" s="5"/>
      <c r="B51" s="48"/>
      <c r="C51" s="48"/>
      <c r="D51" s="48"/>
      <c r="E51" s="48"/>
      <c r="F51" s="50"/>
      <c r="G51" s="50"/>
      <c r="H51" s="16"/>
      <c r="I51" s="16"/>
      <c r="J51" s="16"/>
      <c r="K51" s="5"/>
      <c r="T51" s="5"/>
    </row>
    <row r="52" spans="1:24" ht="12.75">
      <c r="A52" s="5"/>
      <c r="B52" s="48"/>
      <c r="C52" s="48"/>
      <c r="D52" s="48"/>
      <c r="E52" s="48"/>
      <c r="F52" s="50"/>
      <c r="G52" s="50"/>
      <c r="H52" s="16"/>
      <c r="I52" s="16"/>
      <c r="J52" s="16"/>
      <c r="K52" s="5"/>
      <c r="T52" s="5"/>
      <c r="V52" s="40">
        <v>105</v>
      </c>
      <c r="X52" s="72" t="s">
        <v>34</v>
      </c>
    </row>
    <row r="53" spans="1:24" ht="12.75">
      <c r="A53" s="5"/>
      <c r="B53" s="48"/>
      <c r="C53" s="48"/>
      <c r="D53" s="48"/>
      <c r="E53" s="48"/>
      <c r="F53" s="50"/>
      <c r="G53" s="50"/>
      <c r="H53" s="16"/>
      <c r="I53" s="16"/>
      <c r="J53" s="16"/>
      <c r="K53" s="5"/>
      <c r="V53" s="41">
        <v>110</v>
      </c>
      <c r="X53" s="73" t="s">
        <v>37</v>
      </c>
    </row>
    <row r="54" spans="1:24" ht="12.75">
      <c r="A54" s="5"/>
      <c r="B54" s="35"/>
      <c r="C54" s="5"/>
      <c r="D54" s="8"/>
      <c r="E54" s="39"/>
      <c r="F54" s="21"/>
      <c r="G54" s="21"/>
      <c r="H54" s="16"/>
      <c r="I54" s="16"/>
      <c r="J54" s="16"/>
      <c r="K54" s="5"/>
      <c r="V54" s="41">
        <v>115</v>
      </c>
      <c r="X54" s="74" t="s">
        <v>38</v>
      </c>
    </row>
    <row r="55" spans="1:24" ht="12.75">
      <c r="A55" s="5"/>
      <c r="B55" s="35"/>
      <c r="C55" s="5"/>
      <c r="D55" s="8"/>
      <c r="E55" s="39"/>
      <c r="F55" s="21"/>
      <c r="G55" s="21"/>
      <c r="H55" s="12"/>
      <c r="I55" s="16"/>
      <c r="J55" s="16"/>
      <c r="K55" s="5"/>
      <c r="V55" s="42">
        <v>120</v>
      </c>
      <c r="X55" s="75"/>
    </row>
    <row r="56" spans="1:22" ht="12.75">
      <c r="A56" s="5"/>
      <c r="B56" s="5"/>
      <c r="C56" s="5"/>
      <c r="D56" s="5"/>
      <c r="E56" s="39"/>
      <c r="F56" s="21"/>
      <c r="G56" s="21"/>
      <c r="H56" s="12"/>
      <c r="I56" s="16"/>
      <c r="J56" s="16"/>
      <c r="K56" s="5"/>
      <c r="V56" s="42">
        <v>125</v>
      </c>
    </row>
    <row r="57" spans="1:22" ht="12.75">
      <c r="A57" s="5"/>
      <c r="B57" s="5"/>
      <c r="C57" s="5"/>
      <c r="D57" s="5"/>
      <c r="E57" s="39"/>
      <c r="F57" s="21"/>
      <c r="G57" s="21"/>
      <c r="H57" s="16"/>
      <c r="I57" s="16"/>
      <c r="J57" s="16"/>
      <c r="K57" s="5"/>
      <c r="L57" s="35" t="s">
        <v>31</v>
      </c>
      <c r="V57" s="42">
        <v>130</v>
      </c>
    </row>
    <row r="58" spans="1:22" ht="12.75">
      <c r="A58" s="5"/>
      <c r="B58" s="5"/>
      <c r="C58" s="5"/>
      <c r="D58" s="5"/>
      <c r="E58" s="39"/>
      <c r="F58" s="21"/>
      <c r="G58" s="21"/>
      <c r="H58" s="16"/>
      <c r="I58" s="16"/>
      <c r="J58" s="16"/>
      <c r="K58" s="5"/>
      <c r="L58" s="35" t="s">
        <v>59</v>
      </c>
      <c r="M58" s="5"/>
      <c r="N58" s="5"/>
      <c r="O58" s="5"/>
      <c r="P58" s="5"/>
      <c r="Q58" s="5"/>
      <c r="R58" s="5"/>
      <c r="S58" s="5"/>
      <c r="T58" s="5"/>
      <c r="V58" s="42">
        <v>135</v>
      </c>
    </row>
    <row r="59" spans="1:22" ht="12.75">
      <c r="A59" s="5"/>
      <c r="B59" s="5"/>
      <c r="C59" s="5"/>
      <c r="D59" s="5"/>
      <c r="E59" s="7"/>
      <c r="F59" s="8"/>
      <c r="G59" s="9"/>
      <c r="H59" s="5"/>
      <c r="I59" s="5"/>
      <c r="J59" s="5"/>
      <c r="K59" s="5"/>
      <c r="M59" s="5"/>
      <c r="N59" s="5"/>
      <c r="O59" s="5"/>
      <c r="P59" s="5"/>
      <c r="Q59" s="5"/>
      <c r="R59" s="5"/>
      <c r="S59" s="5"/>
      <c r="T59" s="5"/>
      <c r="V59" s="42">
        <v>140</v>
      </c>
    </row>
    <row r="60" spans="1:22" ht="12.75">
      <c r="A60" s="5"/>
      <c r="B60" s="9"/>
      <c r="C60" s="9"/>
      <c r="D60" s="25"/>
      <c r="E60" s="37"/>
      <c r="F60" s="37"/>
      <c r="G60" s="37"/>
      <c r="H60" s="9"/>
      <c r="I60" s="55"/>
      <c r="J60" s="55"/>
      <c r="K60" s="5"/>
      <c r="M60" s="5"/>
      <c r="N60" s="5"/>
      <c r="O60" s="5"/>
      <c r="P60" s="5"/>
      <c r="Q60" s="5"/>
      <c r="R60" s="5"/>
      <c r="S60" s="5"/>
      <c r="T60" s="5"/>
      <c r="V60" s="42">
        <v>145</v>
      </c>
    </row>
    <row r="61" spans="1:22" ht="12.75">
      <c r="A61" s="5"/>
      <c r="B61" s="58" t="s">
        <v>39</v>
      </c>
      <c r="C61" s="9"/>
      <c r="D61" s="10"/>
      <c r="E61" s="37"/>
      <c r="F61" s="56" t="s">
        <v>78</v>
      </c>
      <c r="G61" s="16"/>
      <c r="H61" s="9"/>
      <c r="I61" s="9"/>
      <c r="J61" s="57" t="s">
        <v>75</v>
      </c>
      <c r="K61" s="5"/>
      <c r="L61" s="58" t="s">
        <v>40</v>
      </c>
      <c r="M61" s="5"/>
      <c r="N61" s="5"/>
      <c r="O61" s="5"/>
      <c r="P61" s="5"/>
      <c r="Q61" s="5"/>
      <c r="R61" s="5"/>
      <c r="S61" s="5"/>
      <c r="T61" s="57" t="str">
        <f>J61</f>
        <v>Copyright ® 2016 - Medeek Engineering Inc.</v>
      </c>
      <c r="V61" s="42">
        <v>150</v>
      </c>
    </row>
    <row r="62" ht="12.75">
      <c r="V62" s="41">
        <v>155</v>
      </c>
    </row>
    <row r="63" ht="12.75">
      <c r="V63" s="41">
        <v>160</v>
      </c>
    </row>
    <row r="64" ht="12.75">
      <c r="V64" s="42">
        <v>165</v>
      </c>
    </row>
    <row r="65" ht="12.75">
      <c r="V65" s="41">
        <v>170</v>
      </c>
    </row>
    <row r="66" ht="12.75">
      <c r="V66" s="41">
        <v>175</v>
      </c>
    </row>
    <row r="67" ht="12.75">
      <c r="V67" s="42">
        <v>180</v>
      </c>
    </row>
    <row r="68" ht="12.75">
      <c r="V68" s="42">
        <v>185</v>
      </c>
    </row>
    <row r="69" ht="12.75">
      <c r="V69" s="42">
        <v>190</v>
      </c>
    </row>
    <row r="70" ht="12.75">
      <c r="V70" s="43">
        <v>195</v>
      </c>
    </row>
  </sheetData>
  <sheetProtection/>
  <mergeCells count="1">
    <mergeCell ref="B41:J42"/>
  </mergeCells>
  <conditionalFormatting sqref="H8">
    <cfRule type="cellIs" priority="1" dxfId="0" operator="lessThanOrEqual" stopIfTrue="1">
      <formula>10</formula>
    </cfRule>
  </conditionalFormatting>
  <dataValidations count="2">
    <dataValidation type="list" allowBlank="1" showInputMessage="1" showErrorMessage="1" sqref="F4">
      <formula1>$V$52:$V$70</formula1>
    </dataValidation>
    <dataValidation type="list" allowBlank="1" showInputMessage="1" showErrorMessage="1" sqref="F12">
      <formula1>$X$52:$X$54</formula1>
    </dataValidation>
  </dataValidations>
  <printOptions/>
  <pageMargins left="0.75" right="0.5" top="0.25" bottom="0.25" header="0" footer="0"/>
  <pageSetup horizontalDpi="600" verticalDpi="600" orientation="portrait" r:id="rId2"/>
  <ignoredErrors>
    <ignoredError sqref="O16 O17:O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Medeek Engineering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MWFRS (Directional Procedure</dc:title>
  <dc:subject/>
  <dc:creator>Nathaniel P. Wilkerson</dc:creator>
  <cp:keywords/>
  <dc:description/>
  <cp:lastModifiedBy>NPW</cp:lastModifiedBy>
  <cp:lastPrinted>2014-08-22T23:41:41Z</cp:lastPrinted>
  <dcterms:created xsi:type="dcterms:W3CDTF">2006-12-28T19:18:19Z</dcterms:created>
  <dcterms:modified xsi:type="dcterms:W3CDTF">2016-03-14T13:05:46Z</dcterms:modified>
  <cp:category/>
  <cp:version/>
  <cp:contentType/>
  <cp:contentStatus/>
</cp:coreProperties>
</file>