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27105" windowHeight="14520" activeTab="0"/>
  </bookViews>
  <sheets>
    <sheet name="Gable_Hip" sheetId="1" r:id="rId1"/>
    <sheet name="Monoslope" sheetId="2" r:id="rId2"/>
  </sheets>
  <definedNames>
    <definedName name="_xlnm.Print_Area" localSheetId="0">'Gable_Hip'!$A$1:$T$61</definedName>
    <definedName name="_xlnm.Print_Area" localSheetId="1">'Monoslope'!$A$1:$AD$61</definedName>
  </definedNames>
  <calcPr fullCalcOnLoad="1"/>
</workbook>
</file>

<file path=xl/sharedStrings.xml><?xml version="1.0" encoding="utf-8"?>
<sst xmlns="http://schemas.openxmlformats.org/spreadsheetml/2006/main" count="464" uniqueCount="92">
  <si>
    <t>MPH</t>
  </si>
  <si>
    <t>Roof Eve Height</t>
  </si>
  <si>
    <t>Peak Roof Height</t>
  </si>
  <si>
    <t>FT</t>
  </si>
  <si>
    <t>Mean Roof Height</t>
  </si>
  <si>
    <t>Terrain Exp. Category</t>
  </si>
  <si>
    <t>Job#:</t>
  </si>
  <si>
    <t>Roof Pitch</t>
  </si>
  <si>
    <t>:12</t>
  </si>
  <si>
    <t>WIND</t>
  </si>
  <si>
    <t>Basic Wind Speed (ultimate)</t>
  </si>
  <si>
    <t>Topography Factor</t>
  </si>
  <si>
    <t>ASCE 7-10 Fig. 26.8-1</t>
  </si>
  <si>
    <t>Wind Analysis Method</t>
  </si>
  <si>
    <t>Directionality Factor</t>
  </si>
  <si>
    <t>ASCE 7-10 Fig. 26.6-1</t>
  </si>
  <si>
    <t>Height (ft)</t>
  </si>
  <si>
    <t>h =</t>
  </si>
  <si>
    <t>ASCE 7-10 Table 26.11-1</t>
  </si>
  <si>
    <t>Internal Pressure Coefficients</t>
  </si>
  <si>
    <t>DEG</t>
  </si>
  <si>
    <r>
      <t>K</t>
    </r>
    <r>
      <rPr>
        <sz val="7"/>
        <rFont val="Arial"/>
        <family val="2"/>
      </rPr>
      <t>zt</t>
    </r>
    <r>
      <rPr>
        <sz val="8"/>
        <rFont val="Arial"/>
        <family val="2"/>
      </rPr>
      <t xml:space="preserve"> =</t>
    </r>
  </si>
  <si>
    <r>
      <t>K</t>
    </r>
    <r>
      <rPr>
        <sz val="7"/>
        <rFont val="Arial"/>
        <family val="2"/>
      </rPr>
      <t>d</t>
    </r>
    <r>
      <rPr>
        <sz val="8"/>
        <rFont val="Arial"/>
        <family val="2"/>
      </rPr>
      <t xml:space="preserve"> =</t>
    </r>
  </si>
  <si>
    <r>
      <t>(GC</t>
    </r>
    <r>
      <rPr>
        <sz val="7"/>
        <rFont val="Arial"/>
        <family val="2"/>
      </rPr>
      <t>pi</t>
    </r>
    <r>
      <rPr>
        <sz val="8"/>
        <rFont val="Arial"/>
        <family val="2"/>
      </rPr>
      <t>) =</t>
    </r>
  </si>
  <si>
    <r>
      <t>K</t>
    </r>
    <r>
      <rPr>
        <sz val="7"/>
        <rFont val="Arial"/>
        <family val="2"/>
      </rPr>
      <t>z</t>
    </r>
  </si>
  <si>
    <r>
      <t>q</t>
    </r>
    <r>
      <rPr>
        <sz val="7"/>
        <rFont val="Arial"/>
        <family val="2"/>
      </rPr>
      <t>z</t>
    </r>
  </si>
  <si>
    <r>
      <t>q</t>
    </r>
    <r>
      <rPr>
        <i/>
        <sz val="7"/>
        <rFont val="Arial"/>
        <family val="2"/>
      </rPr>
      <t>z</t>
    </r>
    <r>
      <rPr>
        <i/>
        <sz val="8"/>
        <rFont val="Arial"/>
        <family val="2"/>
      </rPr>
      <t>=.00256K</t>
    </r>
    <r>
      <rPr>
        <i/>
        <sz val="7"/>
        <rFont val="Arial"/>
        <family val="2"/>
      </rPr>
      <t>z</t>
    </r>
    <r>
      <rPr>
        <i/>
        <sz val="8"/>
        <rFont val="Arial"/>
        <family val="2"/>
      </rPr>
      <t>K</t>
    </r>
    <r>
      <rPr>
        <i/>
        <sz val="7"/>
        <rFont val="Arial"/>
        <family val="2"/>
      </rPr>
      <t>zt</t>
    </r>
    <r>
      <rPr>
        <i/>
        <sz val="8"/>
        <rFont val="Arial"/>
        <family val="2"/>
      </rPr>
      <t>K</t>
    </r>
    <r>
      <rPr>
        <i/>
        <sz val="7"/>
        <rFont val="Arial"/>
        <family val="2"/>
      </rPr>
      <t>d</t>
    </r>
    <r>
      <rPr>
        <i/>
        <sz val="8"/>
        <rFont val="Arial"/>
        <family val="2"/>
      </rPr>
      <t>V</t>
    </r>
    <r>
      <rPr>
        <i/>
        <vertAlign val="superscript"/>
        <sz val="8"/>
        <rFont val="Arial"/>
        <family val="2"/>
      </rPr>
      <t>2</t>
    </r>
  </si>
  <si>
    <t>α =</t>
  </si>
  <si>
    <r>
      <t>z</t>
    </r>
    <r>
      <rPr>
        <sz val="7"/>
        <rFont val="Arial"/>
        <family val="2"/>
      </rPr>
      <t>g</t>
    </r>
    <r>
      <rPr>
        <sz val="8"/>
        <rFont val="Arial"/>
        <family val="2"/>
      </rPr>
      <t xml:space="preserve"> =</t>
    </r>
    <r>
      <rPr>
        <sz val="7"/>
        <rFont val="Arial"/>
        <family val="2"/>
      </rPr>
      <t xml:space="preserve"> </t>
    </r>
  </si>
  <si>
    <t>(C&amp;C)</t>
  </si>
  <si>
    <t>Part 1: Low Rise Buildings</t>
  </si>
  <si>
    <t>Velocity Pressure</t>
  </si>
  <si>
    <r>
      <t>p = q</t>
    </r>
    <r>
      <rPr>
        <i/>
        <sz val="7"/>
        <rFont val="Arial"/>
        <family val="2"/>
      </rPr>
      <t>h</t>
    </r>
    <r>
      <rPr>
        <i/>
        <sz val="8"/>
        <rFont val="Arial"/>
        <family val="2"/>
      </rPr>
      <t>(GC</t>
    </r>
    <r>
      <rPr>
        <i/>
        <sz val="7"/>
        <rFont val="Arial"/>
        <family val="2"/>
      </rPr>
      <t>p</t>
    </r>
    <r>
      <rPr>
        <i/>
        <sz val="8"/>
        <rFont val="Arial"/>
        <family val="2"/>
      </rPr>
      <t xml:space="preserve"> - GC</t>
    </r>
    <r>
      <rPr>
        <i/>
        <sz val="7"/>
        <rFont val="Arial"/>
        <family val="2"/>
      </rPr>
      <t>pi</t>
    </r>
    <r>
      <rPr>
        <i/>
        <sz val="8"/>
        <rFont val="Arial"/>
        <family val="2"/>
      </rPr>
      <t>)</t>
    </r>
  </si>
  <si>
    <t>Wall Components</t>
  </si>
  <si>
    <t>Component</t>
  </si>
  <si>
    <t>Trib. Area</t>
  </si>
  <si>
    <t>Eff. Area</t>
  </si>
  <si>
    <t>Stud</t>
  </si>
  <si>
    <r>
      <t>A ≤ 10 ft</t>
    </r>
    <r>
      <rPr>
        <vertAlign val="superscript"/>
        <sz val="8"/>
        <rFont val="Arial"/>
        <family val="2"/>
      </rPr>
      <t>2</t>
    </r>
  </si>
  <si>
    <r>
      <t>A = 20 ft</t>
    </r>
    <r>
      <rPr>
        <vertAlign val="superscript"/>
        <sz val="8"/>
        <rFont val="Arial"/>
        <family val="2"/>
      </rPr>
      <t>2</t>
    </r>
  </si>
  <si>
    <r>
      <t>A = 50 ft</t>
    </r>
    <r>
      <rPr>
        <vertAlign val="superscript"/>
        <sz val="8"/>
        <rFont val="Arial"/>
        <family val="2"/>
      </rPr>
      <t>2</t>
    </r>
  </si>
  <si>
    <r>
      <t>A = 100 ft</t>
    </r>
    <r>
      <rPr>
        <vertAlign val="superscript"/>
        <sz val="8"/>
        <rFont val="Arial"/>
        <family val="2"/>
      </rPr>
      <t>2</t>
    </r>
  </si>
  <si>
    <r>
      <t>A = 200 ft</t>
    </r>
    <r>
      <rPr>
        <vertAlign val="superscript"/>
        <sz val="8"/>
        <rFont val="Arial"/>
        <family val="2"/>
      </rPr>
      <t>2</t>
    </r>
  </si>
  <si>
    <r>
      <t>A ≥ 500 ft</t>
    </r>
    <r>
      <rPr>
        <vertAlign val="superscript"/>
        <sz val="8"/>
        <rFont val="Arial"/>
        <family val="2"/>
      </rPr>
      <t>2</t>
    </r>
  </si>
  <si>
    <t>Wall Coefficients</t>
  </si>
  <si>
    <t>Wall Design Pressures</t>
  </si>
  <si>
    <t>Zone 5 Pos</t>
  </si>
  <si>
    <t>Zone 5 Neg</t>
  </si>
  <si>
    <t>Zone 4  Pos</t>
  </si>
  <si>
    <t>Zone 4 Neg</t>
  </si>
  <si>
    <t>Zone 4 Pos</t>
  </si>
  <si>
    <r>
      <t>A ≥ 100 ft</t>
    </r>
    <r>
      <rPr>
        <vertAlign val="superscript"/>
        <sz val="8"/>
        <rFont val="Arial"/>
        <family val="2"/>
      </rPr>
      <t>2</t>
    </r>
  </si>
  <si>
    <t>Truss/Rafter</t>
  </si>
  <si>
    <t>Roof Components</t>
  </si>
  <si>
    <t>Roof Coefficients</t>
  </si>
  <si>
    <t>Roof Design Pressures</t>
  </si>
  <si>
    <t>Zone 1 Pos</t>
  </si>
  <si>
    <t>Zone1 Neg</t>
  </si>
  <si>
    <t>Zone 2 Pos</t>
  </si>
  <si>
    <t>Zone 2 Neg</t>
  </si>
  <si>
    <t>Zone 3 Pos</t>
  </si>
  <si>
    <t>Zone 3 Neg</t>
  </si>
  <si>
    <t>-</t>
  </si>
  <si>
    <t>(Overhang)</t>
  </si>
  <si>
    <t>Width (ft.)</t>
  </si>
  <si>
    <t>Span Length (ft.)</t>
  </si>
  <si>
    <t>smaller of:</t>
  </si>
  <si>
    <t>x</t>
  </si>
  <si>
    <t>=</t>
  </si>
  <si>
    <t>ft</t>
  </si>
  <si>
    <t>not less than:</t>
  </si>
  <si>
    <t>or</t>
  </si>
  <si>
    <t>Width of Zones 2,3 and 5</t>
  </si>
  <si>
    <t>Note: Pressures are limit state design pressures for strength design. Multiple by 0.6 for ASD.</t>
  </si>
  <si>
    <t>Min. Pressure:  The design wind pressure for C&amp;C shall not be less than 16 psf acting in either direction normal to the surface.</t>
  </si>
  <si>
    <t>Wall Coeficients taken from ASCE 7-10 Fig. 30.4-1</t>
  </si>
  <si>
    <t>(psf)</t>
  </si>
  <si>
    <t>Panel</t>
  </si>
  <si>
    <t>C</t>
  </si>
  <si>
    <t>Roof Coeficients taken from ASCE 7-10 Fig. 30.4-2B and Fig. 30.4-2C</t>
  </si>
  <si>
    <t>2015-002</t>
  </si>
  <si>
    <t>Rev. 1.2.1 - 02/08/2015</t>
  </si>
  <si>
    <t>Copyright ® 2015 - Medeek Engineering Inc.</t>
  </si>
  <si>
    <r>
      <t>( Monoslope Roofs 3</t>
    </r>
    <r>
      <rPr>
        <sz val="8"/>
        <rFont val="Calibri"/>
        <family val="2"/>
      </rPr>
      <t>°</t>
    </r>
    <r>
      <rPr>
        <sz val="8"/>
        <rFont val="Arial"/>
        <family val="2"/>
      </rPr>
      <t xml:space="preserve"> &lt; </t>
    </r>
    <r>
      <rPr>
        <sz val="8"/>
        <rFont val="Calibri"/>
        <family val="2"/>
      </rPr>
      <t>θ ≤</t>
    </r>
    <r>
      <rPr>
        <sz val="9.6"/>
        <rFont val="Calibri"/>
        <family val="2"/>
      </rPr>
      <t xml:space="preserve"> 10° )</t>
    </r>
  </si>
  <si>
    <t>Overhang Roof Coeficients taken from ASCE 7-10 Fig. 30.4-2B</t>
  </si>
  <si>
    <t>Zone 3' Neg</t>
  </si>
  <si>
    <t>Zone 3' Pos</t>
  </si>
  <si>
    <t>Zone 2' Neg</t>
  </si>
  <si>
    <t>Zone 2' Pos</t>
  </si>
  <si>
    <t>Monoslope Roof Coeficients taken from ASCE 7-10 Fig. 30.4-5A</t>
  </si>
  <si>
    <t>2015-018</t>
  </si>
  <si>
    <t>Rev. 1.2.2- 06/29/2015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</si>
</sst>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#,##0.0"/>
    <numFmt numFmtId="167" formatCode="[$-409]dddd\,\ mmmm\ dd\,\ yyyy"/>
    <numFmt numFmtId="168" formatCode="0.000"/>
    <numFmt numFmtId="169" formatCode="0.0000"/>
    <numFmt numFmtId="170" formatCode="[$-409]h:mm:ss\ AM/PM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i/>
      <vertAlign val="superscript"/>
      <sz val="8"/>
      <name val="Arial"/>
      <family val="2"/>
    </font>
    <font>
      <sz val="8"/>
      <name val="Arial Unicode MS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sz val="9.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8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3C00"/>
      <name val="Arial"/>
      <family val="2"/>
    </font>
    <font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15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15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2" fontId="3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2" fontId="3" fillId="33" borderId="0" xfId="0" applyNumberFormat="1" applyFont="1" applyFill="1" applyBorder="1" applyAlignment="1">
      <alignment vertical="center"/>
    </xf>
    <xf numFmtId="168" fontId="3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68" fontId="3" fillId="0" borderId="0" xfId="0" applyNumberFormat="1" applyFont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2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2" fontId="3" fillId="33" borderId="0" xfId="0" applyNumberFormat="1" applyFont="1" applyFill="1" applyAlignment="1">
      <alignment horizontal="right" vertical="center"/>
    </xf>
    <xf numFmtId="0" fontId="3" fillId="0" borderId="10" xfId="0" applyFont="1" applyBorder="1" applyAlignment="1">
      <alignment vertical="center"/>
    </xf>
    <xf numFmtId="2" fontId="3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0" fontId="49" fillId="0" borderId="0" xfId="0" applyFont="1" applyAlignment="1">
      <alignment vertical="center"/>
    </xf>
    <xf numFmtId="0" fontId="50" fillId="0" borderId="0" xfId="0" applyNumberFormat="1" applyFont="1" applyAlignment="1">
      <alignment horizontal="left" vertical="center"/>
    </xf>
    <xf numFmtId="1" fontId="3" fillId="33" borderId="0" xfId="0" applyNumberFormat="1" applyFont="1" applyFill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57" applyFont="1" applyAlignment="1">
      <alignment vertical="center"/>
      <protection/>
    </xf>
    <xf numFmtId="0" fontId="3" fillId="0" borderId="0" xfId="57" applyFont="1" applyBorder="1" applyAlignment="1">
      <alignment vertical="center"/>
      <protection/>
    </xf>
    <xf numFmtId="2" fontId="3" fillId="0" borderId="0" xfId="57" applyNumberFormat="1" applyFont="1" applyAlignment="1">
      <alignment vertical="center"/>
      <protection/>
    </xf>
    <xf numFmtId="0" fontId="3" fillId="0" borderId="0" xfId="57" applyFont="1" applyAlignment="1">
      <alignment horizontal="right" vertical="center"/>
      <protection/>
    </xf>
    <xf numFmtId="0" fontId="4" fillId="0" borderId="0" xfId="57" applyFont="1" applyAlignment="1">
      <alignment vertical="center"/>
      <protection/>
    </xf>
    <xf numFmtId="1" fontId="3" fillId="0" borderId="0" xfId="57" applyNumberFormat="1" applyFont="1" applyAlignment="1">
      <alignment vertical="center"/>
      <protection/>
    </xf>
    <xf numFmtId="164" fontId="3" fillId="0" borderId="0" xfId="57" applyNumberFormat="1" applyFont="1" applyAlignment="1">
      <alignment vertical="center"/>
      <protection/>
    </xf>
    <xf numFmtId="3" fontId="3" fillId="0" borderId="0" xfId="57" applyNumberFormat="1" applyFont="1" applyAlignment="1">
      <alignment vertical="center"/>
      <protection/>
    </xf>
    <xf numFmtId="2" fontId="4" fillId="0" borderId="0" xfId="57" applyNumberFormat="1" applyFont="1" applyBorder="1" applyAlignment="1">
      <alignment vertical="center"/>
      <protection/>
    </xf>
    <xf numFmtId="2" fontId="3" fillId="0" borderId="0" xfId="57" applyNumberFormat="1" applyFont="1" applyBorder="1" applyAlignment="1">
      <alignment vertical="center"/>
      <protection/>
    </xf>
    <xf numFmtId="2" fontId="3" fillId="0" borderId="0" xfId="57" applyNumberFormat="1" applyFont="1" applyBorder="1" applyAlignment="1">
      <alignment horizontal="right" vertical="center"/>
      <protection/>
    </xf>
    <xf numFmtId="168" fontId="3" fillId="0" borderId="0" xfId="57" applyNumberFormat="1" applyFont="1" applyBorder="1" applyAlignment="1">
      <alignment vertical="center"/>
      <protection/>
    </xf>
    <xf numFmtId="0" fontId="3" fillId="0" borderId="0" xfId="57" applyFont="1" applyAlignment="1">
      <alignment horizontal="left" vertical="center"/>
      <protection/>
    </xf>
    <xf numFmtId="0" fontId="5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right" vertical="center"/>
      <protection/>
    </xf>
    <xf numFmtId="2" fontId="3" fillId="0" borderId="0" xfId="57" applyNumberFormat="1" applyFont="1" applyFill="1" applyAlignment="1">
      <alignment vertical="center"/>
      <protection/>
    </xf>
    <xf numFmtId="2" fontId="3" fillId="0" borderId="0" xfId="57" applyNumberFormat="1" applyFont="1" applyFill="1" applyAlignment="1">
      <alignment horizontal="right" vertical="center"/>
      <protection/>
    </xf>
    <xf numFmtId="2" fontId="3" fillId="33" borderId="0" xfId="57" applyNumberFormat="1" applyFont="1" applyFill="1" applyAlignment="1">
      <alignment horizontal="right" vertical="center"/>
      <protection/>
    </xf>
    <xf numFmtId="49" fontId="3" fillId="0" borderId="0" xfId="57" applyNumberFormat="1" applyFont="1" applyAlignment="1">
      <alignment vertical="center"/>
      <protection/>
    </xf>
    <xf numFmtId="166" fontId="3" fillId="0" borderId="0" xfId="57" applyNumberFormat="1" applyFont="1" applyAlignment="1">
      <alignment vertical="center"/>
      <protection/>
    </xf>
    <xf numFmtId="0" fontId="3" fillId="0" borderId="10" xfId="57" applyFont="1" applyBorder="1" applyAlignment="1">
      <alignment vertical="center"/>
      <protection/>
    </xf>
    <xf numFmtId="164" fontId="3" fillId="0" borderId="0" xfId="57" applyNumberFormat="1" applyFont="1" applyBorder="1" applyAlignment="1">
      <alignment vertical="center"/>
      <protection/>
    </xf>
    <xf numFmtId="2" fontId="3" fillId="0" borderId="0" xfId="57" applyNumberFormat="1" applyFont="1" applyFill="1" applyAlignment="1">
      <alignment horizontal="center" vertical="center"/>
      <protection/>
    </xf>
    <xf numFmtId="0" fontId="3" fillId="0" borderId="0" xfId="57" applyFont="1" applyFill="1" applyAlignment="1">
      <alignment horizontal="center" vertical="center"/>
      <protection/>
    </xf>
    <xf numFmtId="2" fontId="4" fillId="0" borderId="0" xfId="57" applyNumberFormat="1" applyFont="1" applyFill="1" applyAlignment="1">
      <alignment horizontal="center" vertical="center"/>
      <protection/>
    </xf>
    <xf numFmtId="0" fontId="3" fillId="0" borderId="0" xfId="57" applyFont="1" applyFill="1" applyBorder="1" applyAlignment="1">
      <alignment vertical="center"/>
      <protection/>
    </xf>
    <xf numFmtId="2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4" fillId="0" borderId="0" xfId="57" applyFont="1" applyFill="1" applyAlignment="1">
      <alignment vertical="center"/>
      <protection/>
    </xf>
    <xf numFmtId="2" fontId="3" fillId="0" borderId="0" xfId="57" applyNumberFormat="1" applyFont="1" applyBorder="1" applyAlignment="1">
      <alignment horizontal="center" vertical="center"/>
      <protection/>
    </xf>
    <xf numFmtId="0" fontId="50" fillId="0" borderId="0" xfId="57" applyNumberFormat="1" applyFont="1" applyAlignment="1">
      <alignment horizontal="left" vertical="center"/>
      <protection/>
    </xf>
    <xf numFmtId="0" fontId="4" fillId="0" borderId="0" xfId="57" applyFont="1" applyBorder="1" applyAlignment="1">
      <alignment vertical="center"/>
      <protection/>
    </xf>
    <xf numFmtId="0" fontId="6" fillId="0" borderId="0" xfId="57" applyFont="1" applyAlignment="1">
      <alignment vertical="center"/>
      <protection/>
    </xf>
    <xf numFmtId="0" fontId="3" fillId="0" borderId="0" xfId="57" applyNumberFormat="1" applyFont="1" applyAlignment="1">
      <alignment vertical="center"/>
      <protection/>
    </xf>
    <xf numFmtId="2" fontId="3" fillId="0" borderId="0" xfId="57" applyNumberFormat="1" applyFont="1" applyFill="1" applyBorder="1" applyAlignment="1">
      <alignment horizontal="center" vertical="center"/>
      <protection/>
    </xf>
    <xf numFmtId="2" fontId="3" fillId="33" borderId="0" xfId="57" applyNumberFormat="1" applyFont="1" applyFill="1" applyAlignment="1">
      <alignment horizontal="center" vertical="center"/>
      <protection/>
    </xf>
    <xf numFmtId="0" fontId="3" fillId="33" borderId="0" xfId="57" applyFont="1" applyFill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3" fontId="3" fillId="0" borderId="0" xfId="57" applyNumberFormat="1" applyFont="1" applyBorder="1" applyAlignment="1">
      <alignment vertical="center"/>
      <protection/>
    </xf>
    <xf numFmtId="2" fontId="4" fillId="0" borderId="0" xfId="57" applyNumberFormat="1" applyFont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2" fontId="4" fillId="0" borderId="0" xfId="57" applyNumberFormat="1" applyFont="1" applyAlignment="1">
      <alignment horizontal="left" vertical="center"/>
      <protection/>
    </xf>
    <xf numFmtId="168" fontId="3" fillId="0" borderId="0" xfId="57" applyNumberFormat="1" applyFont="1" applyAlignment="1">
      <alignment horizontal="left" vertical="center"/>
      <protection/>
    </xf>
    <xf numFmtId="2" fontId="3" fillId="0" borderId="0" xfId="57" applyNumberFormat="1" applyFont="1" applyBorder="1" applyAlignment="1">
      <alignment horizontal="left" vertical="center"/>
      <protection/>
    </xf>
    <xf numFmtId="2" fontId="4" fillId="0" borderId="0" xfId="57" applyNumberFormat="1" applyFont="1" applyFill="1" applyBorder="1" applyAlignment="1">
      <alignment horizontal="center" vertical="center"/>
      <protection/>
    </xf>
    <xf numFmtId="0" fontId="3" fillId="33" borderId="0" xfId="57" applyNumberFormat="1" applyFont="1" applyFill="1" applyBorder="1" applyAlignment="1">
      <alignment horizontal="right" vertical="center"/>
      <protection/>
    </xf>
    <xf numFmtId="0" fontId="9" fillId="0" borderId="0" xfId="57" applyFont="1" applyAlignment="1">
      <alignment vertical="center"/>
      <protection/>
    </xf>
    <xf numFmtId="168" fontId="3" fillId="33" borderId="0" xfId="57" applyNumberFormat="1" applyFont="1" applyFill="1" applyBorder="1" applyAlignment="1">
      <alignment vertical="center"/>
      <protection/>
    </xf>
    <xf numFmtId="2" fontId="3" fillId="33" borderId="0" xfId="57" applyNumberFormat="1" applyFont="1" applyFill="1" applyBorder="1" applyAlignment="1">
      <alignment vertical="center"/>
      <protection/>
    </xf>
    <xf numFmtId="0" fontId="3" fillId="33" borderId="0" xfId="57" applyFont="1" applyFill="1" applyBorder="1" applyAlignment="1">
      <alignment horizontal="left" vertical="center"/>
      <protection/>
    </xf>
    <xf numFmtId="2" fontId="3" fillId="33" borderId="0" xfId="57" applyNumberFormat="1" applyFont="1" applyFill="1" applyAlignment="1">
      <alignment vertical="center"/>
      <protection/>
    </xf>
    <xf numFmtId="0" fontId="4" fillId="0" borderId="0" xfId="57" applyNumberFormat="1" applyFont="1" applyAlignment="1">
      <alignment vertical="center"/>
      <protection/>
    </xf>
    <xf numFmtId="15" fontId="4" fillId="0" borderId="0" xfId="57" applyNumberFormat="1" applyFont="1" applyAlignment="1">
      <alignment vertical="center"/>
      <protection/>
    </xf>
    <xf numFmtId="14" fontId="4" fillId="0" borderId="0" xfId="57" applyNumberFormat="1" applyFont="1" applyAlignment="1">
      <alignment vertical="center"/>
      <protection/>
    </xf>
    <xf numFmtId="0" fontId="4" fillId="0" borderId="0" xfId="57" applyNumberFormat="1" applyFont="1" applyBorder="1" applyAlignment="1">
      <alignment vertical="center"/>
      <protection/>
    </xf>
    <xf numFmtId="15" fontId="4" fillId="0" borderId="0" xfId="57" applyNumberFormat="1" applyFont="1" applyAlignment="1">
      <alignment horizontal="right" vertical="center"/>
      <protection/>
    </xf>
    <xf numFmtId="1" fontId="3" fillId="33" borderId="0" xfId="57" applyNumberFormat="1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18</xdr:row>
      <xdr:rowOff>38100</xdr:rowOff>
    </xdr:from>
    <xdr:to>
      <xdr:col>9</xdr:col>
      <xdr:colOff>828675</xdr:colOff>
      <xdr:row>31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2800350"/>
          <a:ext cx="27432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</xdr:row>
      <xdr:rowOff>28575</xdr:rowOff>
    </xdr:from>
    <xdr:to>
      <xdr:col>19</xdr:col>
      <xdr:colOff>828675</xdr:colOff>
      <xdr:row>15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342900"/>
          <a:ext cx="27336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18</xdr:row>
      <xdr:rowOff>19050</xdr:rowOff>
    </xdr:from>
    <xdr:to>
      <xdr:col>9</xdr:col>
      <xdr:colOff>828675</xdr:colOff>
      <xdr:row>31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2781300"/>
          <a:ext cx="27432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2</xdr:row>
      <xdr:rowOff>38100</xdr:rowOff>
    </xdr:from>
    <xdr:to>
      <xdr:col>19</xdr:col>
      <xdr:colOff>828675</xdr:colOff>
      <xdr:row>13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352425"/>
          <a:ext cx="27432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6"/>
  <sheetViews>
    <sheetView tabSelected="1" zoomScale="120" zoomScaleNormal="120" zoomScalePageLayoutView="0" workbookViewId="0" topLeftCell="A1">
      <selection activeCell="N63" sqref="N63"/>
    </sheetView>
  </sheetViews>
  <sheetFormatPr defaultColWidth="9.140625" defaultRowHeight="12.75"/>
  <cols>
    <col min="1" max="1" width="3.7109375" style="7" customWidth="1"/>
    <col min="2" max="2" width="9.7109375" style="7" customWidth="1"/>
    <col min="3" max="3" width="10.7109375" style="7" customWidth="1"/>
    <col min="4" max="4" width="9.7109375" style="7" customWidth="1"/>
    <col min="5" max="5" width="9.7109375" style="9" customWidth="1"/>
    <col min="6" max="6" width="9.7109375" style="10" customWidth="1"/>
    <col min="7" max="7" width="9.7109375" style="11" customWidth="1"/>
    <col min="8" max="9" width="9.7109375" style="7" customWidth="1"/>
    <col min="10" max="10" width="12.7109375" style="7" customWidth="1"/>
    <col min="11" max="11" width="3.7109375" style="7" customWidth="1"/>
    <col min="12" max="12" width="9.7109375" style="7" customWidth="1"/>
    <col min="13" max="13" width="10.7109375" style="7" customWidth="1"/>
    <col min="14" max="19" width="9.7109375" style="7" customWidth="1"/>
    <col min="20" max="20" width="12.7109375" style="7" customWidth="1"/>
    <col min="21" max="23" width="9.140625" style="7" customWidth="1"/>
    <col min="24" max="24" width="10.00390625" style="7" bestFit="1" customWidth="1"/>
    <col min="25" max="25" width="10.57421875" style="7" bestFit="1" customWidth="1"/>
    <col min="26" max="33" width="9.140625" style="7" customWidth="1"/>
    <col min="34" max="34" width="11.421875" style="7" bestFit="1" customWidth="1"/>
    <col min="35" max="42" width="9.140625" style="7" customWidth="1"/>
    <col min="43" max="43" width="11.421875" style="7" customWidth="1"/>
    <col min="44" max="44" width="9.7109375" style="7" bestFit="1" customWidth="1"/>
    <col min="45" max="51" width="9.140625" style="7" customWidth="1"/>
    <col min="52" max="52" width="11.421875" style="7" bestFit="1" customWidth="1"/>
    <col min="53" max="16384" width="9.140625" style="7" customWidth="1"/>
  </cols>
  <sheetData>
    <row r="1" spans="5:52" s="1" customFormat="1" ht="12" customHeight="1">
      <c r="E1" s="2"/>
      <c r="F1" s="3"/>
      <c r="G1" s="4"/>
      <c r="I1" s="1" t="s">
        <v>6</v>
      </c>
      <c r="J1" s="1" t="s">
        <v>90</v>
      </c>
      <c r="O1" s="2"/>
      <c r="P1" s="3"/>
      <c r="Q1" s="4"/>
      <c r="S1" s="1" t="s">
        <v>6</v>
      </c>
      <c r="T1" s="1" t="str">
        <f>J1</f>
        <v>2015-018</v>
      </c>
      <c r="Y1" s="6"/>
      <c r="AH1" s="5"/>
      <c r="AQ1" s="5"/>
      <c r="AZ1" s="5"/>
    </row>
    <row r="2" spans="2:18" ht="12.75" customHeight="1">
      <c r="B2" s="8" t="s">
        <v>9</v>
      </c>
      <c r="C2" s="7" t="s">
        <v>29</v>
      </c>
      <c r="L2" s="8" t="s">
        <v>53</v>
      </c>
      <c r="M2" s="8"/>
      <c r="N2" s="8"/>
      <c r="O2" s="22"/>
      <c r="P2" s="3"/>
      <c r="Q2" s="17"/>
      <c r="R2" s="26" t="s">
        <v>32</v>
      </c>
    </row>
    <row r="3" spans="2:17" ht="12.75" customHeight="1">
      <c r="B3" s="7" t="s">
        <v>13</v>
      </c>
      <c r="G3" s="13" t="s">
        <v>30</v>
      </c>
      <c r="L3" s="45" t="s">
        <v>34</v>
      </c>
      <c r="M3" s="51" t="s">
        <v>65</v>
      </c>
      <c r="N3" s="45" t="s">
        <v>64</v>
      </c>
      <c r="O3" s="45" t="s">
        <v>35</v>
      </c>
      <c r="P3" s="46" t="s">
        <v>36</v>
      </c>
      <c r="Q3" s="42"/>
    </row>
    <row r="4" spans="2:17" ht="12" customHeight="1">
      <c r="B4" s="7" t="s">
        <v>10</v>
      </c>
      <c r="F4" s="27">
        <v>155</v>
      </c>
      <c r="G4" s="11" t="s">
        <v>0</v>
      </c>
      <c r="L4" s="40" t="s">
        <v>52</v>
      </c>
      <c r="M4" s="47">
        <v>16</v>
      </c>
      <c r="N4" s="47">
        <v>2</v>
      </c>
      <c r="O4" s="41">
        <f>M4*N4</f>
        <v>32</v>
      </c>
      <c r="P4" s="41">
        <f>IF(O4&gt;Q4,O4,Q4)</f>
        <v>85.33333333333333</v>
      </c>
      <c r="Q4" s="42">
        <f>M4*M4/3</f>
        <v>85.33333333333333</v>
      </c>
    </row>
    <row r="5" spans="2:17" ht="12" customHeight="1">
      <c r="B5" s="7" t="s">
        <v>11</v>
      </c>
      <c r="E5" s="9" t="s">
        <v>21</v>
      </c>
      <c r="F5" s="27">
        <v>1</v>
      </c>
      <c r="H5" s="55" t="s">
        <v>12</v>
      </c>
      <c r="L5" s="40" t="s">
        <v>77</v>
      </c>
      <c r="M5" s="47">
        <v>8</v>
      </c>
      <c r="N5" s="47">
        <v>4</v>
      </c>
      <c r="O5" s="41">
        <f>M5*N5</f>
        <v>32</v>
      </c>
      <c r="P5" s="41">
        <f>IF(O5&gt;Q5,O5,Q5)</f>
        <v>32</v>
      </c>
      <c r="Q5" s="42">
        <f>M5*M5/3</f>
        <v>21.333333333333332</v>
      </c>
    </row>
    <row r="6" spans="2:18" ht="12" customHeight="1">
      <c r="B6" s="7" t="s">
        <v>14</v>
      </c>
      <c r="E6" s="9" t="s">
        <v>22</v>
      </c>
      <c r="F6" s="27">
        <v>0.85</v>
      </c>
      <c r="H6" s="55" t="s">
        <v>15</v>
      </c>
      <c r="L6" s="40" t="s">
        <v>38</v>
      </c>
      <c r="M6" s="40" t="s">
        <v>62</v>
      </c>
      <c r="N6" s="40" t="s">
        <v>62</v>
      </c>
      <c r="O6" s="40" t="s">
        <v>62</v>
      </c>
      <c r="P6" s="41">
        <v>10</v>
      </c>
      <c r="Q6" s="41"/>
      <c r="R6" s="11"/>
    </row>
    <row r="7" spans="2:19" ht="12" customHeight="1">
      <c r="B7" s="7" t="s">
        <v>19</v>
      </c>
      <c r="E7" s="9" t="s">
        <v>23</v>
      </c>
      <c r="F7" s="27">
        <v>0.18</v>
      </c>
      <c r="G7" s="28">
        <v>-0.18</v>
      </c>
      <c r="H7" s="55" t="s">
        <v>18</v>
      </c>
      <c r="L7" s="40" t="s">
        <v>39</v>
      </c>
      <c r="M7" s="40" t="s">
        <v>62</v>
      </c>
      <c r="N7" s="40" t="s">
        <v>62</v>
      </c>
      <c r="O7" s="40" t="s">
        <v>62</v>
      </c>
      <c r="P7" s="43">
        <v>20</v>
      </c>
      <c r="Q7" s="43"/>
      <c r="R7" s="36"/>
      <c r="S7" s="36"/>
    </row>
    <row r="8" spans="2:19" ht="12" customHeight="1">
      <c r="B8" s="7" t="s">
        <v>7</v>
      </c>
      <c r="E8" s="7"/>
      <c r="F8" s="29">
        <v>5</v>
      </c>
      <c r="G8" s="7" t="s">
        <v>8</v>
      </c>
      <c r="H8" s="10">
        <f>DEGREES(ATAN(F8/12))</f>
        <v>22.61986494804043</v>
      </c>
      <c r="I8" s="7" t="s">
        <v>20</v>
      </c>
      <c r="L8" s="40" t="s">
        <v>40</v>
      </c>
      <c r="M8" s="40" t="s">
        <v>62</v>
      </c>
      <c r="N8" s="40" t="s">
        <v>62</v>
      </c>
      <c r="O8" s="40" t="s">
        <v>62</v>
      </c>
      <c r="P8" s="41">
        <v>50</v>
      </c>
      <c r="Q8" s="41"/>
      <c r="R8" s="25"/>
      <c r="S8" s="25"/>
    </row>
    <row r="9" spans="2:21" s="8" customFormat="1" ht="12" customHeight="1">
      <c r="B9" s="7" t="s">
        <v>1</v>
      </c>
      <c r="C9" s="7"/>
      <c r="D9" s="7"/>
      <c r="E9" s="7"/>
      <c r="F9" s="30">
        <v>12.5</v>
      </c>
      <c r="G9" s="7" t="s">
        <v>3</v>
      </c>
      <c r="K9" s="7"/>
      <c r="L9" s="40" t="s">
        <v>51</v>
      </c>
      <c r="M9" s="40" t="s">
        <v>62</v>
      </c>
      <c r="N9" s="40" t="s">
        <v>62</v>
      </c>
      <c r="O9" s="40" t="s">
        <v>62</v>
      </c>
      <c r="P9" s="41">
        <v>100</v>
      </c>
      <c r="Q9" s="41"/>
      <c r="R9" s="25"/>
      <c r="S9" s="25"/>
      <c r="T9" s="7"/>
      <c r="U9" s="7"/>
    </row>
    <row r="10" spans="2:87" ht="12" customHeight="1">
      <c r="B10" s="7" t="s">
        <v>2</v>
      </c>
      <c r="E10" s="7"/>
      <c r="F10" s="30">
        <v>16.33</v>
      </c>
      <c r="G10" s="7" t="s">
        <v>3</v>
      </c>
      <c r="H10" s="32" t="s">
        <v>27</v>
      </c>
      <c r="I10" s="7">
        <f>IF(F12="C",9.5,IF(F12="B",7,IF(F12="D",11.5,"Undefined")))</f>
        <v>9.5</v>
      </c>
      <c r="L10" s="40"/>
      <c r="M10" s="40"/>
      <c r="N10" s="40"/>
      <c r="O10" s="40"/>
      <c r="P10" s="41"/>
      <c r="Q10" s="41"/>
      <c r="R10" s="25"/>
      <c r="S10" s="25"/>
      <c r="T10" s="8"/>
      <c r="U10" s="8"/>
      <c r="AK10" s="11"/>
      <c r="AM10" s="8"/>
      <c r="AO10" s="8"/>
      <c r="AP10" s="8"/>
      <c r="AQ10" s="8"/>
      <c r="BQ10" s="15"/>
      <c r="BZ10" s="15"/>
      <c r="CI10" s="15"/>
    </row>
    <row r="11" spans="2:87" ht="12" customHeight="1">
      <c r="B11" s="7" t="s">
        <v>4</v>
      </c>
      <c r="E11" s="7"/>
      <c r="F11" s="12">
        <f>IF(H8&gt;10,(F9+F10)/2,F9)</f>
        <v>14.415</v>
      </c>
      <c r="G11" s="7" t="s">
        <v>3</v>
      </c>
      <c r="H11" s="7" t="s">
        <v>28</v>
      </c>
      <c r="I11" s="7">
        <f>IF(F12="C",900,IF(F12="B",1200,IF(F12="D",700,"Undefined")))</f>
        <v>900</v>
      </c>
      <c r="L11" s="40"/>
      <c r="M11" s="40"/>
      <c r="N11" s="40"/>
      <c r="O11" s="40"/>
      <c r="P11" s="41"/>
      <c r="Q11" s="41"/>
      <c r="R11" s="25"/>
      <c r="S11" s="25"/>
      <c r="T11" s="8"/>
      <c r="AJ11" s="11"/>
      <c r="AK11" s="11"/>
      <c r="BG11" s="16"/>
      <c r="BI11" s="16"/>
      <c r="BQ11" s="15"/>
      <c r="CI11" s="15"/>
    </row>
    <row r="12" spans="2:87" ht="12" customHeight="1">
      <c r="B12" s="7" t="s">
        <v>5</v>
      </c>
      <c r="E12" s="7"/>
      <c r="F12" s="31" t="s">
        <v>78</v>
      </c>
      <c r="G12" s="7"/>
      <c r="L12" s="40"/>
      <c r="M12" s="40"/>
      <c r="N12" s="40"/>
      <c r="O12" s="40"/>
      <c r="P12" s="41"/>
      <c r="Q12" s="41"/>
      <c r="R12" s="25"/>
      <c r="S12" s="25"/>
      <c r="T12" s="8"/>
      <c r="AC12" s="17"/>
      <c r="AD12" s="11"/>
      <c r="AE12" s="11"/>
      <c r="AF12" s="11"/>
      <c r="AG12" s="11"/>
      <c r="AH12" s="11"/>
      <c r="AI12" s="11"/>
      <c r="AK12" s="11"/>
      <c r="AN12" s="11"/>
      <c r="AO12" s="11"/>
      <c r="AQ12" s="18"/>
      <c r="AR12" s="15"/>
      <c r="BG12" s="16"/>
      <c r="BQ12" s="19"/>
      <c r="BS12" s="15"/>
      <c r="BX12" s="20"/>
      <c r="BZ12" s="11"/>
      <c r="CA12" s="15"/>
      <c r="CB12" s="15"/>
      <c r="CC12" s="15"/>
      <c r="CD12" s="21"/>
      <c r="CI12" s="15"/>
    </row>
    <row r="13" spans="12:87" ht="12" customHeight="1">
      <c r="L13" s="40"/>
      <c r="M13" s="40"/>
      <c r="N13" s="40"/>
      <c r="O13" s="40"/>
      <c r="P13" s="41"/>
      <c r="Q13" s="41"/>
      <c r="R13" s="25"/>
      <c r="S13" s="25"/>
      <c r="T13" s="8"/>
      <c r="AB13" s="9"/>
      <c r="AC13" s="11"/>
      <c r="AD13" s="11"/>
      <c r="AE13" s="11"/>
      <c r="AF13" s="11"/>
      <c r="AG13" s="18"/>
      <c r="AH13" s="18"/>
      <c r="AI13" s="18"/>
      <c r="AN13" s="11"/>
      <c r="AO13" s="11"/>
      <c r="AQ13" s="18"/>
      <c r="AR13" s="15"/>
      <c r="BG13" s="16"/>
      <c r="BQ13" s="19"/>
      <c r="CA13" s="15"/>
      <c r="CB13" s="15"/>
      <c r="CC13" s="15"/>
      <c r="CD13" s="21"/>
      <c r="CI13" s="15"/>
    </row>
    <row r="14" spans="2:87" ht="12" customHeight="1">
      <c r="B14" s="8" t="s">
        <v>31</v>
      </c>
      <c r="C14" s="8"/>
      <c r="D14" s="8"/>
      <c r="E14" s="22"/>
      <c r="F14" s="3"/>
      <c r="G14" s="17"/>
      <c r="H14" s="26" t="s">
        <v>26</v>
      </c>
      <c r="L14" s="55" t="s">
        <v>79</v>
      </c>
      <c r="M14" s="40"/>
      <c r="N14" s="40"/>
      <c r="O14" s="40"/>
      <c r="P14" s="41"/>
      <c r="Q14" s="41"/>
      <c r="R14" s="25"/>
      <c r="S14" s="25"/>
      <c r="T14" s="8"/>
      <c r="AB14" s="9"/>
      <c r="AC14" s="11"/>
      <c r="AD14" s="11"/>
      <c r="AE14" s="11"/>
      <c r="AF14" s="11"/>
      <c r="AG14" s="18"/>
      <c r="AH14" s="18"/>
      <c r="AI14" s="18"/>
      <c r="AN14" s="11"/>
      <c r="AO14" s="11"/>
      <c r="AQ14" s="18"/>
      <c r="AR14" s="15"/>
      <c r="AY14" s="18"/>
      <c r="BG14" s="16"/>
      <c r="BQ14" s="15"/>
      <c r="BS14" s="15"/>
      <c r="BX14" s="20"/>
      <c r="BZ14" s="11"/>
      <c r="CA14" s="15"/>
      <c r="CB14" s="15"/>
      <c r="CC14" s="15"/>
      <c r="CD14" s="21"/>
      <c r="CI14" s="15"/>
    </row>
    <row r="15" spans="2:89" ht="12" customHeight="1">
      <c r="B15" s="7" t="s">
        <v>16</v>
      </c>
      <c r="E15" s="7" t="s">
        <v>24</v>
      </c>
      <c r="F15" s="7" t="s">
        <v>25</v>
      </c>
      <c r="G15" s="9"/>
      <c r="H15" s="10"/>
      <c r="I15" s="11"/>
      <c r="J15" s="11"/>
      <c r="L15" s="40"/>
      <c r="M15" s="40"/>
      <c r="N15" s="41"/>
      <c r="O15" s="41"/>
      <c r="P15" s="41"/>
      <c r="Q15" s="41"/>
      <c r="R15" s="25"/>
      <c r="S15" s="25"/>
      <c r="AD15" s="9"/>
      <c r="AE15" s="11"/>
      <c r="AF15" s="11"/>
      <c r="AG15" s="11"/>
      <c r="AH15" s="11"/>
      <c r="AI15" s="18"/>
      <c r="AJ15" s="18"/>
      <c r="AK15" s="18"/>
      <c r="AP15" s="11"/>
      <c r="AQ15" s="11"/>
      <c r="AS15" s="18"/>
      <c r="AT15" s="15"/>
      <c r="BA15" s="18"/>
      <c r="BI15" s="16"/>
      <c r="BS15" s="15"/>
      <c r="BU15" s="15"/>
      <c r="BZ15" s="20"/>
      <c r="CB15" s="11"/>
      <c r="CC15" s="15"/>
      <c r="CD15" s="15"/>
      <c r="CE15" s="15"/>
      <c r="CF15" s="21"/>
      <c r="CK15" s="15"/>
    </row>
    <row r="16" spans="2:89" ht="12" customHeight="1">
      <c r="B16" s="7" t="s">
        <v>17</v>
      </c>
      <c r="C16" s="34">
        <f>F11</f>
        <v>14.415</v>
      </c>
      <c r="D16" s="7" t="s">
        <v>3</v>
      </c>
      <c r="E16" s="33">
        <f>IF(F12="B",IF(C16&lt;30,2.01*(30/$I$11)^(2/$I$10),2.01*(C16/$I$11)^(2/$I$10)),IF(C16&lt;15,2.01*(15/$I$11)^(2/$I$10),2.01*(C16/$I$11)^(2/$I$10)))</f>
        <v>0.8488841520779031</v>
      </c>
      <c r="F16" s="57">
        <f>0.00256*E16*$F$5*$F$6*$F$4*$F$4</f>
        <v>44.37830525598945</v>
      </c>
      <c r="G16" s="59">
        <f>IF(H8&gt;10,"","(h = he for θ ≤ 10 degrees)")</f>
      </c>
      <c r="H16" s="10"/>
      <c r="I16" s="11"/>
      <c r="J16" s="11"/>
      <c r="L16" s="44" t="s">
        <v>54</v>
      </c>
      <c r="M16" s="40"/>
      <c r="N16" s="41"/>
      <c r="O16" s="41"/>
      <c r="P16" s="41"/>
      <c r="Q16" s="41"/>
      <c r="R16" s="25"/>
      <c r="S16" s="25"/>
      <c r="AD16" s="9"/>
      <c r="AE16" s="11"/>
      <c r="AF16" s="11"/>
      <c r="AG16" s="11"/>
      <c r="AH16" s="11"/>
      <c r="AI16" s="18"/>
      <c r="AJ16" s="18"/>
      <c r="AK16" s="18"/>
      <c r="AP16" s="11"/>
      <c r="AQ16" s="11"/>
      <c r="AS16" s="18"/>
      <c r="AT16" s="15"/>
      <c r="BA16" s="18"/>
      <c r="BI16" s="16"/>
      <c r="BS16" s="15"/>
      <c r="BU16" s="15"/>
      <c r="BZ16" s="20"/>
      <c r="CB16" s="11"/>
      <c r="CC16" s="15"/>
      <c r="CD16" s="15"/>
      <c r="CE16" s="15"/>
      <c r="CF16" s="21"/>
      <c r="CK16" s="15"/>
    </row>
    <row r="17" spans="12:87" ht="12" customHeight="1">
      <c r="L17" s="45" t="s">
        <v>34</v>
      </c>
      <c r="M17" s="45" t="s">
        <v>36</v>
      </c>
      <c r="N17" s="46" t="s">
        <v>56</v>
      </c>
      <c r="O17" s="46" t="s">
        <v>57</v>
      </c>
      <c r="P17" s="46" t="s">
        <v>58</v>
      </c>
      <c r="Q17" s="46" t="s">
        <v>59</v>
      </c>
      <c r="R17" s="46" t="s">
        <v>60</v>
      </c>
      <c r="S17" s="46" t="s">
        <v>61</v>
      </c>
      <c r="AB17" s="9"/>
      <c r="AC17" s="11"/>
      <c r="AD17" s="11"/>
      <c r="AE17" s="11"/>
      <c r="AF17" s="11"/>
      <c r="AG17" s="18"/>
      <c r="AH17" s="18"/>
      <c r="AI17" s="18"/>
      <c r="AN17" s="11"/>
      <c r="AO17" s="11"/>
      <c r="AQ17" s="18"/>
      <c r="AR17" s="15"/>
      <c r="AY17" s="18"/>
      <c r="BG17" s="16"/>
      <c r="BQ17" s="15"/>
      <c r="BS17" s="15"/>
      <c r="BX17" s="20"/>
      <c r="BZ17" s="11"/>
      <c r="CA17" s="15"/>
      <c r="CB17" s="15"/>
      <c r="CC17" s="15"/>
      <c r="CD17" s="21"/>
      <c r="CI17" s="15"/>
    </row>
    <row r="18" spans="2:87" ht="12" customHeight="1">
      <c r="B18" s="8" t="s">
        <v>33</v>
      </c>
      <c r="C18" s="8"/>
      <c r="D18" s="8"/>
      <c r="E18" s="22"/>
      <c r="F18" s="3"/>
      <c r="G18" s="17"/>
      <c r="H18" s="26" t="s">
        <v>32</v>
      </c>
      <c r="L18" s="40" t="s">
        <v>52</v>
      </c>
      <c r="M18" s="41">
        <f aca="true" t="shared" si="0" ref="M18:M23">P4</f>
        <v>85.33333333333333</v>
      </c>
      <c r="N18" s="41">
        <f>IF(M18&lt;100,IF($H$8&gt;27,1-0.1*LOG($M18),0.7-0.2*LOG($M18)),IF($H$8&gt;27,0.8,0.3))</f>
        <v>0.3137762578815625</v>
      </c>
      <c r="O18" s="41">
        <f>IF(M18&lt;100,IF($H$8&gt;27,-1.2+0.2*LOG($M18),-1+0.1*LOG($M18)),-0.8)</f>
        <v>-0.8068881289407812</v>
      </c>
      <c r="P18" s="41">
        <f>IF(M18&lt;100,IF($H$8&gt;27,1-0.1*LOG($M18),0.7-0.2*LOG($M18)),IF($H$8&gt;27,0.8,0.3))</f>
        <v>0.3137762578815625</v>
      </c>
      <c r="Q18" s="41">
        <f>IF(M18&lt;100,IF($H$8&gt;27,-1.4+0.2*LOG($M18),-2.2+0.5*LOG($M18)),IF($H$8&gt;27,-1,-1.2))</f>
        <v>-1.2344406447039065</v>
      </c>
      <c r="R18" s="41">
        <f>IF(M18&lt;100,IF($H$8&gt;27,1-0.1*LOG($M18),0.7-0.2*LOG($M18)),IF($H$8&gt;27,0.8,0.3))</f>
        <v>0.3137762578815625</v>
      </c>
      <c r="S18" s="56">
        <f>IF(M18&lt;100,IF($H$8&gt;27,-1.4+0.2*LOG($M18),-3.2+0.6*LOG($M18)),IF($H$8&gt;27,-1,-2))</f>
        <v>-2.041328773644688</v>
      </c>
      <c r="AB18" s="9"/>
      <c r="AC18" s="11"/>
      <c r="AD18" s="11"/>
      <c r="AE18" s="11"/>
      <c r="AF18" s="11"/>
      <c r="AG18" s="18"/>
      <c r="AH18" s="18"/>
      <c r="AI18" s="18"/>
      <c r="AQ18" s="18"/>
      <c r="AR18" s="15"/>
      <c r="AY18" s="18"/>
      <c r="BS18" s="15"/>
      <c r="BX18" s="20"/>
      <c r="BZ18" s="11"/>
      <c r="CA18" s="15"/>
      <c r="CB18" s="15"/>
      <c r="CC18" s="15"/>
      <c r="CD18" s="21"/>
      <c r="CI18" s="15"/>
    </row>
    <row r="19" spans="2:87" ht="12" customHeight="1">
      <c r="B19" s="45" t="s">
        <v>34</v>
      </c>
      <c r="C19" s="51" t="s">
        <v>65</v>
      </c>
      <c r="D19" s="45" t="s">
        <v>64</v>
      </c>
      <c r="E19" s="45" t="s">
        <v>35</v>
      </c>
      <c r="F19" s="46" t="s">
        <v>36</v>
      </c>
      <c r="G19" s="42"/>
      <c r="L19" s="40" t="s">
        <v>77</v>
      </c>
      <c r="M19" s="41">
        <f t="shared" si="0"/>
        <v>32</v>
      </c>
      <c r="N19" s="41">
        <f>IF($H$8&gt;27,1-0.1*LOG($M19),0.7-0.2*LOG($M19))</f>
        <v>0.3989700043360187</v>
      </c>
      <c r="O19" s="41">
        <f>IF($H$8&gt;27,-1.2+0.2*LOG($M19),-1+0.1*LOG($M19))</f>
        <v>-0.8494850021680094</v>
      </c>
      <c r="P19" s="41">
        <f>IF($H$8&gt;27,1-0.1*LOG($M19),0.7-0.2*LOG($M19))</f>
        <v>0.3989700043360187</v>
      </c>
      <c r="Q19" s="41">
        <f>IF($H$8&gt;27,-1.4+0.2*LOG($M19),-2.2+0.5*LOG($M19))</f>
        <v>-1.447425010840047</v>
      </c>
      <c r="R19" s="41">
        <f>IF($H$8&gt;27,1-0.1*LOG($M19),0.7-0.2*LOG($M19))</f>
        <v>0.3989700043360187</v>
      </c>
      <c r="S19" s="41">
        <f>IF($H$8&gt;27,-1.4+0.2*LOG($M19),-3.2+0.6*LOG($M19))</f>
        <v>-2.2969100130080564</v>
      </c>
      <c r="AB19" s="9"/>
      <c r="AC19" s="11"/>
      <c r="AD19" s="11"/>
      <c r="AE19" s="11"/>
      <c r="AF19" s="11"/>
      <c r="AG19" s="18"/>
      <c r="AH19" s="18"/>
      <c r="AI19" s="18"/>
      <c r="AQ19" s="18"/>
      <c r="AR19" s="15"/>
      <c r="AY19" s="16"/>
      <c r="BH19" s="15"/>
      <c r="BR19" s="18"/>
      <c r="BS19" s="15"/>
      <c r="BX19" s="15"/>
      <c r="CA19" s="15"/>
      <c r="CI19" s="19"/>
    </row>
    <row r="20" spans="2:87" ht="12" customHeight="1">
      <c r="B20" s="40" t="s">
        <v>37</v>
      </c>
      <c r="C20" s="47">
        <v>11</v>
      </c>
      <c r="D20" s="54">
        <v>1.33</v>
      </c>
      <c r="E20" s="41">
        <f>C20*D20</f>
        <v>14.63</v>
      </c>
      <c r="F20" s="41">
        <f>IF(E20&gt;G20,E20,G20)</f>
        <v>40.333333333333336</v>
      </c>
      <c r="G20" s="42">
        <f>C20*C20/3</f>
        <v>40.333333333333336</v>
      </c>
      <c r="L20" s="40" t="s">
        <v>38</v>
      </c>
      <c r="M20" s="41">
        <f t="shared" si="0"/>
        <v>10</v>
      </c>
      <c r="N20" s="41">
        <f>IF($H$8&gt;27,0.9,0.5)</f>
        <v>0.5</v>
      </c>
      <c r="O20" s="41">
        <f>IF($H$8&gt;27,-1,-0.9)</f>
        <v>-0.9</v>
      </c>
      <c r="P20" s="41">
        <f>IF($H$8&gt;27,0.9,0.5)</f>
        <v>0.5</v>
      </c>
      <c r="Q20" s="41">
        <f>IF($H$8&gt;27,-1.2,-1.7)</f>
        <v>-1.7</v>
      </c>
      <c r="R20" s="41">
        <f>IF($H$8&gt;27,0.9,0.5)</f>
        <v>0.5</v>
      </c>
      <c r="S20" s="56">
        <f>IF($H$8&gt;27,-1.2,-2.6)</f>
        <v>-2.6</v>
      </c>
      <c r="AB20" s="9"/>
      <c r="AC20" s="11"/>
      <c r="AD20" s="11"/>
      <c r="AE20" s="11"/>
      <c r="AF20" s="11"/>
      <c r="AG20" s="18"/>
      <c r="AH20" s="18"/>
      <c r="AI20" s="18"/>
      <c r="AQ20" s="18"/>
      <c r="AR20" s="15"/>
      <c r="AY20" s="16"/>
      <c r="BH20" s="15"/>
      <c r="BR20" s="18"/>
      <c r="BS20" s="15"/>
      <c r="BX20" s="15"/>
      <c r="CA20" s="15"/>
      <c r="CI20" s="19"/>
    </row>
    <row r="21" spans="2:88" ht="12" customHeight="1">
      <c r="B21" s="40" t="s">
        <v>77</v>
      </c>
      <c r="C21" s="47">
        <v>8</v>
      </c>
      <c r="D21" s="60">
        <v>4</v>
      </c>
      <c r="E21" s="41">
        <f>C21*D21</f>
        <v>32</v>
      </c>
      <c r="F21" s="41">
        <f>IF(E21&gt;G21,E21,G21)</f>
        <v>32</v>
      </c>
      <c r="G21" s="42">
        <f>C21*C21/3</f>
        <v>21.333333333333332</v>
      </c>
      <c r="H21" s="11"/>
      <c r="L21" s="40" t="s">
        <v>39</v>
      </c>
      <c r="M21" s="41">
        <f t="shared" si="0"/>
        <v>20</v>
      </c>
      <c r="N21" s="41">
        <f>IF($H$8&gt;27,1-0.1*LOG($M21),0.7-0.2*LOG($M21))</f>
        <v>0.4397940008672037</v>
      </c>
      <c r="O21" s="41">
        <f>IF($H$8&gt;27,-1.2+0.2*LOG($M21),-1+0.1*LOG($M21))</f>
        <v>-0.8698970004336019</v>
      </c>
      <c r="P21" s="41">
        <f>IF($H$8&gt;27,1-0.1*LOG($M21),0.7-0.2*LOG($M21))</f>
        <v>0.4397940008672037</v>
      </c>
      <c r="Q21" s="41">
        <f>IF($H$8&gt;27,-1.4+0.2*LOG($M21),-2.2+0.5*LOG($M21))</f>
        <v>-1.5494850021680096</v>
      </c>
      <c r="R21" s="41">
        <f>IF($H$8&gt;27,1-0.1*LOG($M21),0.7-0.2*LOG($M21))</f>
        <v>0.4397940008672037</v>
      </c>
      <c r="S21" s="41">
        <f>IF($H$8&gt;27,-1.4+0.2*LOG($M21),-3.2+0.6*LOG($M21))</f>
        <v>-2.4193820026016115</v>
      </c>
      <c r="AC21" s="9"/>
      <c r="AD21" s="11"/>
      <c r="AE21" s="11"/>
      <c r="AF21" s="11"/>
      <c r="AG21" s="11"/>
      <c r="AH21" s="18"/>
      <c r="AI21" s="18"/>
      <c r="AJ21" s="18"/>
      <c r="AR21" s="18"/>
      <c r="AS21" s="15"/>
      <c r="AZ21" s="16"/>
      <c r="BI21" s="15"/>
      <c r="BS21" s="18"/>
      <c r="BT21" s="15"/>
      <c r="BY21" s="15"/>
      <c r="CB21" s="15"/>
      <c r="CJ21" s="19"/>
    </row>
    <row r="22" spans="2:88" ht="12" customHeight="1">
      <c r="B22" s="40" t="s">
        <v>38</v>
      </c>
      <c r="C22" s="40" t="s">
        <v>62</v>
      </c>
      <c r="D22" s="40" t="s">
        <v>62</v>
      </c>
      <c r="E22" s="40" t="s">
        <v>62</v>
      </c>
      <c r="F22" s="41">
        <v>10</v>
      </c>
      <c r="G22" s="43"/>
      <c r="H22" s="36"/>
      <c r="I22" s="36"/>
      <c r="J22" s="36"/>
      <c r="L22" s="40" t="s">
        <v>40</v>
      </c>
      <c r="M22" s="41">
        <f t="shared" si="0"/>
        <v>50</v>
      </c>
      <c r="N22" s="41">
        <f>IF($H$8&gt;27,1-0.1*LOG($M22),0.7-0.2*LOG($M22))</f>
        <v>0.36020599913279616</v>
      </c>
      <c r="O22" s="41">
        <f>IF($H$8&gt;27,-1.2+0.2*LOG($M22),-1+0.1*LOG($M22))</f>
        <v>-0.8301029995663981</v>
      </c>
      <c r="P22" s="41">
        <f>IF($H$8&gt;27,1-0.1*LOG($M22),0.7-0.2*LOG($M22))</f>
        <v>0.36020599913279616</v>
      </c>
      <c r="Q22" s="41">
        <f>IF($H$8&gt;27,-1.4+0.2*LOG($M22),-2.2+0.5*LOG($M22))</f>
        <v>-1.3505149978319908</v>
      </c>
      <c r="R22" s="41">
        <f>IF($H$8&gt;27,1-0.1*LOG($M22),0.7-0.2*LOG($M22))</f>
        <v>0.36020599913279616</v>
      </c>
      <c r="S22" s="41">
        <f>IF($H$8&gt;27,-1.4+0.2*LOG($M22),-3.2+0.6*LOG($M22))</f>
        <v>-2.180617997398389</v>
      </c>
      <c r="AC22" s="9"/>
      <c r="AD22" s="11"/>
      <c r="AE22" s="11"/>
      <c r="AF22" s="11"/>
      <c r="AG22" s="11"/>
      <c r="AH22" s="18"/>
      <c r="AI22" s="18"/>
      <c r="AJ22" s="18"/>
      <c r="AR22" s="18"/>
      <c r="AS22" s="15"/>
      <c r="AZ22" s="16"/>
      <c r="BI22" s="15"/>
      <c r="BS22" s="18"/>
      <c r="BT22" s="15"/>
      <c r="BY22" s="15"/>
      <c r="CB22" s="15"/>
      <c r="CJ22" s="19"/>
    </row>
    <row r="23" spans="2:88" ht="12" customHeight="1">
      <c r="B23" s="40" t="s">
        <v>39</v>
      </c>
      <c r="C23" s="40" t="s">
        <v>62</v>
      </c>
      <c r="D23" s="40" t="s">
        <v>62</v>
      </c>
      <c r="E23" s="40" t="s">
        <v>62</v>
      </c>
      <c r="F23" s="43">
        <v>20</v>
      </c>
      <c r="G23" s="41"/>
      <c r="H23" s="25"/>
      <c r="I23" s="25"/>
      <c r="J23" s="25"/>
      <c r="L23" s="40" t="s">
        <v>51</v>
      </c>
      <c r="M23" s="41">
        <f t="shared" si="0"/>
        <v>100</v>
      </c>
      <c r="N23" s="41">
        <f>IF($H$8&gt;27,0.8,0.3)</f>
        <v>0.3</v>
      </c>
      <c r="O23" s="41">
        <v>-0.8</v>
      </c>
      <c r="P23" s="41">
        <f>IF($H$8&gt;27,0.8,0.3)</f>
        <v>0.3</v>
      </c>
      <c r="Q23" s="41">
        <f>IF($H$8&gt;27,-1,-1.2)</f>
        <v>-1.2</v>
      </c>
      <c r="R23" s="41">
        <f>IF($H$8&gt;27,0.8,0.3)</f>
        <v>0.3</v>
      </c>
      <c r="S23" s="56">
        <f>IF($H$8&gt;27,-1,-2)</f>
        <v>-2</v>
      </c>
      <c r="AC23" s="9"/>
      <c r="AD23" s="11"/>
      <c r="AE23" s="11"/>
      <c r="AF23" s="11"/>
      <c r="AG23" s="11"/>
      <c r="AH23" s="18"/>
      <c r="AI23" s="18"/>
      <c r="AJ23" s="18"/>
      <c r="AR23" s="18"/>
      <c r="AS23" s="15"/>
      <c r="AZ23" s="16"/>
      <c r="BI23" s="15"/>
      <c r="BS23" s="18"/>
      <c r="BT23" s="15"/>
      <c r="BY23" s="15"/>
      <c r="CB23" s="15"/>
      <c r="CJ23" s="19"/>
    </row>
    <row r="24" spans="2:88" ht="12" customHeight="1">
      <c r="B24" s="40" t="s">
        <v>40</v>
      </c>
      <c r="C24" s="40" t="s">
        <v>62</v>
      </c>
      <c r="D24" s="40" t="s">
        <v>62</v>
      </c>
      <c r="E24" s="40" t="s">
        <v>62</v>
      </c>
      <c r="F24" s="41">
        <v>50</v>
      </c>
      <c r="G24" s="41"/>
      <c r="H24" s="25"/>
      <c r="I24" s="25"/>
      <c r="J24" s="25"/>
      <c r="L24" s="40"/>
      <c r="M24" s="40"/>
      <c r="N24" s="40"/>
      <c r="O24" s="41"/>
      <c r="P24" s="41"/>
      <c r="Q24" s="42"/>
      <c r="S24" s="25"/>
      <c r="AC24" s="9"/>
      <c r="AD24" s="11"/>
      <c r="AE24" s="11"/>
      <c r="AF24" s="11"/>
      <c r="AG24" s="11"/>
      <c r="AH24" s="18"/>
      <c r="AI24" s="18"/>
      <c r="AJ24" s="18"/>
      <c r="AR24" s="18"/>
      <c r="AS24" s="15"/>
      <c r="AZ24" s="16"/>
      <c r="BI24" s="15"/>
      <c r="BS24" s="18"/>
      <c r="BT24" s="15"/>
      <c r="BY24" s="15"/>
      <c r="CB24" s="15"/>
      <c r="CJ24" s="19"/>
    </row>
    <row r="25" spans="2:88" ht="12" customHeight="1">
      <c r="B25" s="40" t="s">
        <v>41</v>
      </c>
      <c r="C25" s="40" t="s">
        <v>62</v>
      </c>
      <c r="D25" s="40" t="s">
        <v>62</v>
      </c>
      <c r="E25" s="40" t="s">
        <v>62</v>
      </c>
      <c r="F25" s="41">
        <v>100</v>
      </c>
      <c r="G25" s="41"/>
      <c r="H25" s="25"/>
      <c r="I25" s="25"/>
      <c r="J25" s="25"/>
      <c r="L25" s="44" t="s">
        <v>55</v>
      </c>
      <c r="M25" s="40"/>
      <c r="N25" s="40" t="s">
        <v>76</v>
      </c>
      <c r="O25" s="40"/>
      <c r="P25" s="41"/>
      <c r="Q25" s="42"/>
      <c r="S25" s="25"/>
      <c r="T25" s="38"/>
      <c r="AC25" s="9"/>
      <c r="AD25" s="11"/>
      <c r="AE25" s="11"/>
      <c r="AF25" s="11"/>
      <c r="AG25" s="11"/>
      <c r="AH25" s="18"/>
      <c r="AI25" s="18"/>
      <c r="AJ25" s="18"/>
      <c r="AR25" s="18"/>
      <c r="AS25" s="15"/>
      <c r="AZ25" s="16"/>
      <c r="BI25" s="15"/>
      <c r="BS25" s="18"/>
      <c r="BT25" s="15"/>
      <c r="BY25" s="15"/>
      <c r="CB25" s="15"/>
      <c r="CJ25" s="19"/>
    </row>
    <row r="26" spans="2:88" ht="12" customHeight="1">
      <c r="B26" s="40" t="s">
        <v>42</v>
      </c>
      <c r="C26" s="40" t="s">
        <v>62</v>
      </c>
      <c r="D26" s="40" t="s">
        <v>62</v>
      </c>
      <c r="E26" s="40" t="s">
        <v>62</v>
      </c>
      <c r="F26" s="41">
        <v>200</v>
      </c>
      <c r="G26" s="41"/>
      <c r="H26" s="25"/>
      <c r="I26" s="25"/>
      <c r="J26" s="25"/>
      <c r="L26" s="45" t="s">
        <v>34</v>
      </c>
      <c r="M26" s="45" t="s">
        <v>36</v>
      </c>
      <c r="N26" s="46" t="s">
        <v>56</v>
      </c>
      <c r="O26" s="46" t="s">
        <v>57</v>
      </c>
      <c r="P26" s="46" t="s">
        <v>58</v>
      </c>
      <c r="Q26" s="46" t="s">
        <v>59</v>
      </c>
      <c r="R26" s="46" t="s">
        <v>60</v>
      </c>
      <c r="S26" s="46" t="s">
        <v>61</v>
      </c>
      <c r="T26" s="38"/>
      <c r="AC26" s="9"/>
      <c r="AD26" s="11"/>
      <c r="AE26" s="11"/>
      <c r="AF26" s="11"/>
      <c r="AG26" s="11"/>
      <c r="AH26" s="18"/>
      <c r="AI26" s="18"/>
      <c r="AJ26" s="18"/>
      <c r="AR26" s="18"/>
      <c r="AS26" s="15"/>
      <c r="AZ26" s="16"/>
      <c r="BI26" s="15"/>
      <c r="BS26" s="18"/>
      <c r="BT26" s="15"/>
      <c r="BY26" s="15"/>
      <c r="CB26" s="15"/>
      <c r="CJ26" s="19"/>
    </row>
    <row r="27" spans="2:88" ht="12" customHeight="1">
      <c r="B27" s="40" t="s">
        <v>43</v>
      </c>
      <c r="C27" s="40" t="s">
        <v>62</v>
      </c>
      <c r="D27" s="40" t="s">
        <v>62</v>
      </c>
      <c r="E27" s="40" t="s">
        <v>62</v>
      </c>
      <c r="F27" s="41">
        <v>500</v>
      </c>
      <c r="G27" s="41"/>
      <c r="H27" s="25"/>
      <c r="I27" s="25"/>
      <c r="J27" s="25"/>
      <c r="L27" s="40" t="s">
        <v>52</v>
      </c>
      <c r="M27" s="41">
        <f aca="true" t="shared" si="1" ref="M27:M32">P4</f>
        <v>85.33333333333333</v>
      </c>
      <c r="N27" s="48">
        <f aca="true" t="shared" si="2" ref="N27:N32">$F$16*(N18+$F$7)</f>
        <v>21.91295350042815</v>
      </c>
      <c r="O27" s="48">
        <f aca="true" t="shared" si="3" ref="O27:O32">$F$16*(O18+$G$7)</f>
        <v>-43.796422639646266</v>
      </c>
      <c r="P27" s="48">
        <f aca="true" t="shared" si="4" ref="P27:P32">$F$16*(P18+$F$7)</f>
        <v>21.91295350042815</v>
      </c>
      <c r="Q27" s="48">
        <f aca="true" t="shared" si="5" ref="Q27:Q32">$F$16*(Q18+$G$7)</f>
        <v>-62.77047869714848</v>
      </c>
      <c r="R27" s="48">
        <f aca="true" t="shared" si="6" ref="R27:R32">$F$16*(R18+$F$7)</f>
        <v>21.91295350042815</v>
      </c>
      <c r="S27" s="48">
        <f aca="true" t="shared" si="7" ref="S27:S32">$F$16*(S18+$G$7)</f>
        <v>-98.57880639071666</v>
      </c>
      <c r="T27" s="38"/>
      <c r="AC27" s="9"/>
      <c r="AD27" s="11"/>
      <c r="AE27" s="11"/>
      <c r="AF27" s="11"/>
      <c r="AG27" s="11"/>
      <c r="AH27" s="18"/>
      <c r="AI27" s="18"/>
      <c r="AJ27" s="18"/>
      <c r="AR27" s="18"/>
      <c r="AS27" s="15"/>
      <c r="AZ27" s="16"/>
      <c r="BI27" s="15"/>
      <c r="BS27" s="18"/>
      <c r="BT27" s="15"/>
      <c r="BY27" s="15"/>
      <c r="CB27" s="15"/>
      <c r="CJ27" s="19"/>
    </row>
    <row r="28" spans="2:88" ht="12" customHeight="1">
      <c r="B28" s="40"/>
      <c r="C28" s="40"/>
      <c r="D28" s="40"/>
      <c r="E28" s="40"/>
      <c r="F28" s="41"/>
      <c r="G28" s="41"/>
      <c r="H28" s="25"/>
      <c r="I28" s="25"/>
      <c r="J28" s="25"/>
      <c r="L28" s="40" t="s">
        <v>77</v>
      </c>
      <c r="M28" s="41">
        <f t="shared" si="1"/>
        <v>32</v>
      </c>
      <c r="N28" s="48">
        <f t="shared" si="2"/>
        <v>25.693707586485374</v>
      </c>
      <c r="O28" s="48">
        <f t="shared" si="3"/>
        <v>-45.68679968267488</v>
      </c>
      <c r="P28" s="48">
        <f t="shared" si="4"/>
        <v>25.693707586485374</v>
      </c>
      <c r="Q28" s="48">
        <f t="shared" si="5"/>
        <v>-72.22236391229156</v>
      </c>
      <c r="R28" s="48">
        <f t="shared" si="6"/>
        <v>25.693707586485374</v>
      </c>
      <c r="S28" s="48">
        <f t="shared" si="7"/>
        <v>-109.92106864888834</v>
      </c>
      <c r="T28" s="38"/>
      <c r="AC28" s="9"/>
      <c r="AD28" s="11"/>
      <c r="AE28" s="11"/>
      <c r="AF28" s="11"/>
      <c r="AG28" s="11"/>
      <c r="AH28" s="18"/>
      <c r="AI28" s="18"/>
      <c r="AJ28" s="18"/>
      <c r="AS28" s="15"/>
      <c r="AZ28" s="16"/>
      <c r="CJ28" s="15"/>
    </row>
    <row r="29" spans="2:88" ht="12" customHeight="1">
      <c r="B29" s="40"/>
      <c r="C29" s="40"/>
      <c r="D29" s="40"/>
      <c r="E29" s="40"/>
      <c r="F29" s="41"/>
      <c r="G29" s="41"/>
      <c r="H29" s="25"/>
      <c r="I29" s="25"/>
      <c r="J29" s="25"/>
      <c r="L29" s="40" t="s">
        <v>38</v>
      </c>
      <c r="M29" s="41">
        <f t="shared" si="1"/>
        <v>10</v>
      </c>
      <c r="N29" s="41">
        <f t="shared" si="2"/>
        <v>30.177247574072826</v>
      </c>
      <c r="O29" s="41">
        <f t="shared" si="3"/>
        <v>-47.92856967646861</v>
      </c>
      <c r="P29" s="41">
        <f t="shared" si="4"/>
        <v>30.177247574072826</v>
      </c>
      <c r="Q29" s="41">
        <f t="shared" si="5"/>
        <v>-83.43121388126016</v>
      </c>
      <c r="R29" s="41">
        <f t="shared" si="6"/>
        <v>30.177247574072826</v>
      </c>
      <c r="S29" s="41">
        <f t="shared" si="7"/>
        <v>-123.3716886116507</v>
      </c>
      <c r="T29" s="38"/>
      <c r="AC29" s="9"/>
      <c r="AD29" s="11"/>
      <c r="AE29" s="11"/>
      <c r="AF29" s="11"/>
      <c r="AG29" s="11"/>
      <c r="AH29" s="18"/>
      <c r="AI29" s="18"/>
      <c r="AJ29" s="18"/>
      <c r="AS29" s="15"/>
      <c r="AZ29" s="16"/>
      <c r="CJ29" s="15"/>
    </row>
    <row r="30" spans="2:88" ht="12" customHeight="1">
      <c r="B30" s="55" t="s">
        <v>75</v>
      </c>
      <c r="C30" s="40"/>
      <c r="D30" s="40"/>
      <c r="E30" s="40"/>
      <c r="F30" s="41"/>
      <c r="G30" s="41"/>
      <c r="H30" s="25"/>
      <c r="I30" s="25"/>
      <c r="J30" s="25"/>
      <c r="L30" s="40" t="s">
        <v>39</v>
      </c>
      <c r="M30" s="41">
        <f t="shared" si="1"/>
        <v>20</v>
      </c>
      <c r="N30" s="41">
        <f t="shared" si="2"/>
        <v>27.505407366315758</v>
      </c>
      <c r="O30" s="41">
        <f t="shared" si="3"/>
        <v>-46.592649572590076</v>
      </c>
      <c r="P30" s="41">
        <f t="shared" si="4"/>
        <v>27.505407366315758</v>
      </c>
      <c r="Q30" s="41">
        <f t="shared" si="5"/>
        <v>-76.75161336186751</v>
      </c>
      <c r="R30" s="41">
        <f t="shared" si="6"/>
        <v>27.505407366315758</v>
      </c>
      <c r="S30" s="41">
        <f t="shared" si="7"/>
        <v>-115.3561679883795</v>
      </c>
      <c r="T30" s="38"/>
      <c r="AC30" s="9"/>
      <c r="AD30" s="11"/>
      <c r="AE30" s="11"/>
      <c r="AF30" s="11"/>
      <c r="AG30" s="11"/>
      <c r="AH30" s="18"/>
      <c r="AI30" s="18"/>
      <c r="AJ30" s="18"/>
      <c r="AS30" s="15"/>
      <c r="AZ30" s="16"/>
      <c r="CJ30" s="15"/>
    </row>
    <row r="31" spans="2:88" ht="12" customHeight="1">
      <c r="B31" s="40"/>
      <c r="C31" s="40"/>
      <c r="D31" s="41"/>
      <c r="E31" s="41"/>
      <c r="F31" s="41"/>
      <c r="G31" s="41"/>
      <c r="H31" s="25"/>
      <c r="I31" s="25"/>
      <c r="J31" s="25"/>
      <c r="L31" s="40" t="s">
        <v>40</v>
      </c>
      <c r="M31" s="41">
        <f t="shared" si="1"/>
        <v>50</v>
      </c>
      <c r="N31" s="41">
        <f t="shared" si="2"/>
        <v>23.973426730632</v>
      </c>
      <c r="O31" s="41">
        <f t="shared" si="3"/>
        <v>-44.8266592547482</v>
      </c>
      <c r="P31" s="41">
        <f t="shared" si="4"/>
        <v>23.973426730632</v>
      </c>
      <c r="Q31" s="41">
        <f t="shared" si="5"/>
        <v>-67.92166177265813</v>
      </c>
      <c r="R31" s="41">
        <f t="shared" si="6"/>
        <v>23.973426730632</v>
      </c>
      <c r="S31" s="41">
        <f t="shared" si="7"/>
        <v>-104.76022608132823</v>
      </c>
      <c r="T31" s="38"/>
      <c r="AC31" s="9"/>
      <c r="AD31" s="11"/>
      <c r="AE31" s="11"/>
      <c r="AF31" s="11"/>
      <c r="AG31" s="11"/>
      <c r="AH31" s="18"/>
      <c r="AI31" s="18"/>
      <c r="AJ31" s="18"/>
      <c r="AS31" s="15"/>
      <c r="AZ31" s="16"/>
      <c r="CJ31" s="15"/>
    </row>
    <row r="32" spans="2:90" ht="12" customHeight="1">
      <c r="B32" s="44" t="s">
        <v>44</v>
      </c>
      <c r="C32" s="40"/>
      <c r="D32" s="41"/>
      <c r="E32" s="41"/>
      <c r="F32" s="41"/>
      <c r="G32" s="41"/>
      <c r="H32" s="25"/>
      <c r="I32" s="25"/>
      <c r="J32" s="25"/>
      <c r="L32" s="40" t="s">
        <v>41</v>
      </c>
      <c r="M32" s="41">
        <f t="shared" si="1"/>
        <v>100</v>
      </c>
      <c r="N32" s="41">
        <f t="shared" si="2"/>
        <v>21.301586522874935</v>
      </c>
      <c r="O32" s="41">
        <f t="shared" si="3"/>
        <v>-43.490739150869665</v>
      </c>
      <c r="P32" s="41">
        <f t="shared" si="4"/>
        <v>21.301586522874935</v>
      </c>
      <c r="Q32" s="41">
        <f t="shared" si="5"/>
        <v>-61.24206125326544</v>
      </c>
      <c r="R32" s="41">
        <f t="shared" si="6"/>
        <v>21.301586522874935</v>
      </c>
      <c r="S32" s="41">
        <f t="shared" si="7"/>
        <v>-96.74470545805701</v>
      </c>
      <c r="T32" s="38"/>
      <c r="AC32" s="9"/>
      <c r="AD32" s="11"/>
      <c r="AE32" s="11"/>
      <c r="AF32" s="11"/>
      <c r="AG32" s="11"/>
      <c r="AH32" s="18"/>
      <c r="AI32" s="18"/>
      <c r="AJ32" s="18"/>
      <c r="AP32" s="12"/>
      <c r="AQ32" s="16"/>
      <c r="AR32" s="18"/>
      <c r="AS32" s="15"/>
      <c r="BB32" s="15"/>
      <c r="BN32" s="24"/>
      <c r="CJ32" s="15"/>
      <c r="CL32" s="8"/>
    </row>
    <row r="33" spans="2:90" ht="12" customHeight="1">
      <c r="B33" s="45" t="s">
        <v>34</v>
      </c>
      <c r="C33" s="45" t="s">
        <v>36</v>
      </c>
      <c r="D33" s="46" t="s">
        <v>50</v>
      </c>
      <c r="E33" s="46" t="s">
        <v>49</v>
      </c>
      <c r="F33" s="46" t="s">
        <v>46</v>
      </c>
      <c r="G33" s="46" t="s">
        <v>47</v>
      </c>
      <c r="H33" s="25"/>
      <c r="I33" s="25"/>
      <c r="J33" s="25"/>
      <c r="L33" s="40"/>
      <c r="O33" s="39"/>
      <c r="P33" s="35"/>
      <c r="Q33" s="35"/>
      <c r="R33" s="25"/>
      <c r="S33" s="25"/>
      <c r="T33" s="38"/>
      <c r="AC33" s="9"/>
      <c r="AD33" s="11"/>
      <c r="AE33" s="11"/>
      <c r="AF33" s="11"/>
      <c r="AG33" s="11"/>
      <c r="AH33" s="18"/>
      <c r="AI33" s="18"/>
      <c r="AJ33" s="18"/>
      <c r="AP33" s="12"/>
      <c r="AQ33" s="16"/>
      <c r="AR33" s="18"/>
      <c r="AS33" s="15"/>
      <c r="BB33" s="15"/>
      <c r="BN33" s="24"/>
      <c r="CJ33" s="15"/>
      <c r="CL33" s="8"/>
    </row>
    <row r="34" spans="2:90" ht="12" customHeight="1">
      <c r="B34" s="40" t="s">
        <v>37</v>
      </c>
      <c r="C34" s="41">
        <f aca="true" t="shared" si="8" ref="C34:C41">F20</f>
        <v>40.333333333333336</v>
      </c>
      <c r="D34" s="41">
        <f>1.1766-0.1766*LOG(C34)</f>
        <v>0.8930397171856074</v>
      </c>
      <c r="E34" s="41">
        <f>-1.2766+0.1766*LOG(C34)</f>
        <v>-0.9930397171856072</v>
      </c>
      <c r="F34" s="41">
        <f>1.1766-0.1766*LOG(C34)</f>
        <v>0.8930397171856074</v>
      </c>
      <c r="G34" s="41">
        <f>-1.7532+0.3532*LOG(C34)</f>
        <v>-1.1860794343712147</v>
      </c>
      <c r="H34" s="25"/>
      <c r="I34" s="25"/>
      <c r="J34" s="25"/>
      <c r="L34" s="40"/>
      <c r="M34" s="40"/>
      <c r="N34" s="41"/>
      <c r="O34" s="41"/>
      <c r="P34" s="41"/>
      <c r="Q34" s="41"/>
      <c r="R34" s="25"/>
      <c r="S34" s="25"/>
      <c r="T34" s="38"/>
      <c r="AC34" s="9"/>
      <c r="AD34" s="11"/>
      <c r="AE34" s="11"/>
      <c r="AF34" s="11"/>
      <c r="AG34" s="11"/>
      <c r="AH34" s="18"/>
      <c r="AI34" s="18"/>
      <c r="AJ34" s="18"/>
      <c r="AP34" s="12"/>
      <c r="AQ34" s="16"/>
      <c r="AR34" s="18"/>
      <c r="AS34" s="15"/>
      <c r="BB34" s="15"/>
      <c r="BN34" s="24"/>
      <c r="CJ34" s="15"/>
      <c r="CL34" s="8"/>
    </row>
    <row r="35" spans="2:90" ht="12" customHeight="1">
      <c r="B35" s="40" t="s">
        <v>77</v>
      </c>
      <c r="C35" s="41">
        <f t="shared" si="8"/>
        <v>32</v>
      </c>
      <c r="D35" s="41">
        <f>1.1766-0.1766*LOG(C35)</f>
        <v>0.9107905138287047</v>
      </c>
      <c r="E35" s="41">
        <f>-1.2766+0.1766*LOG(C35)</f>
        <v>-1.0107905138287046</v>
      </c>
      <c r="F35" s="41">
        <f>1.1766-0.1766*LOG(C35)</f>
        <v>0.9107905138287047</v>
      </c>
      <c r="G35" s="41">
        <f>-1.7532+0.3532*LOG(C35)</f>
        <v>-1.2215810276574093</v>
      </c>
      <c r="H35" s="25"/>
      <c r="I35" s="25"/>
      <c r="J35" s="25"/>
      <c r="L35" s="44" t="s">
        <v>54</v>
      </c>
      <c r="M35" s="40"/>
      <c r="N35" s="48" t="s">
        <v>63</v>
      </c>
      <c r="O35" s="41"/>
      <c r="P35" s="41"/>
      <c r="Q35" s="41"/>
      <c r="R35" s="26"/>
      <c r="S35" s="25"/>
      <c r="T35" s="38"/>
      <c r="AC35" s="9"/>
      <c r="AD35" s="11"/>
      <c r="AE35" s="11"/>
      <c r="AF35" s="11"/>
      <c r="AG35" s="11"/>
      <c r="AH35" s="18"/>
      <c r="AI35" s="18"/>
      <c r="AJ35" s="18"/>
      <c r="AP35" s="12"/>
      <c r="AQ35" s="16"/>
      <c r="AR35" s="18"/>
      <c r="AS35" s="15"/>
      <c r="BB35" s="15"/>
      <c r="BN35" s="24"/>
      <c r="CJ35" s="15"/>
      <c r="CL35" s="8"/>
    </row>
    <row r="36" spans="2:90" ht="12" customHeight="1">
      <c r="B36" s="40" t="s">
        <v>38</v>
      </c>
      <c r="C36" s="41">
        <f t="shared" si="8"/>
        <v>10</v>
      </c>
      <c r="D36" s="41">
        <v>1</v>
      </c>
      <c r="E36" s="41">
        <v>-1.1</v>
      </c>
      <c r="F36" s="41">
        <v>1</v>
      </c>
      <c r="G36" s="41">
        <v>-1.4</v>
      </c>
      <c r="H36" s="25"/>
      <c r="I36" s="25"/>
      <c r="J36" s="25"/>
      <c r="L36" s="45" t="s">
        <v>34</v>
      </c>
      <c r="M36" s="45" t="s">
        <v>36</v>
      </c>
      <c r="N36" s="46" t="s">
        <v>56</v>
      </c>
      <c r="O36" s="46" t="s">
        <v>57</v>
      </c>
      <c r="P36" s="46" t="s">
        <v>58</v>
      </c>
      <c r="Q36" s="46" t="s">
        <v>59</v>
      </c>
      <c r="R36" s="46" t="s">
        <v>60</v>
      </c>
      <c r="S36" s="46" t="s">
        <v>61</v>
      </c>
      <c r="T36" s="38"/>
      <c r="AC36" s="9"/>
      <c r="AD36" s="11"/>
      <c r="AE36" s="11"/>
      <c r="AF36" s="11"/>
      <c r="AG36" s="11"/>
      <c r="AH36" s="18"/>
      <c r="AI36" s="18"/>
      <c r="AJ36" s="18"/>
      <c r="AP36" s="12"/>
      <c r="AQ36" s="16"/>
      <c r="AR36" s="18"/>
      <c r="AS36" s="15"/>
      <c r="BB36" s="15"/>
      <c r="BN36" s="24"/>
      <c r="CJ36" s="15"/>
      <c r="CL36" s="8"/>
    </row>
    <row r="37" spans="2:89" ht="12" customHeight="1">
      <c r="B37" s="40" t="s">
        <v>39</v>
      </c>
      <c r="C37" s="41">
        <f t="shared" si="8"/>
        <v>20</v>
      </c>
      <c r="D37" s="41">
        <f>1.1766-0.1766*LOG(C37)</f>
        <v>0.946838102765741</v>
      </c>
      <c r="E37" s="41">
        <f>-1.2766+0.1766*LOG(C37)</f>
        <v>-1.046838102765741</v>
      </c>
      <c r="F37" s="41">
        <f>1.1766-0.1766*LOG(C37)</f>
        <v>0.946838102765741</v>
      </c>
      <c r="G37" s="41">
        <f>-1.7532+0.3532*LOG(C37)</f>
        <v>-1.2936762055314819</v>
      </c>
      <c r="H37" s="25"/>
      <c r="I37" s="25"/>
      <c r="J37" s="25"/>
      <c r="L37" s="40" t="s">
        <v>52</v>
      </c>
      <c r="M37" s="41">
        <f aca="true" t="shared" si="9" ref="M37:M42">P4</f>
        <v>85.33333333333333</v>
      </c>
      <c r="N37" s="41">
        <f>IF(M37&lt;100,IF($H$8&gt;27,1-0.1*LOG($M37),0.7-0.2*LOG($M37)),IF($H$8&gt;27,0.8,0.3))</f>
        <v>0.3137762578815625</v>
      </c>
      <c r="O37" s="41">
        <f>IF(M37&lt;100,IF($H$8&gt;27,-1.2+0.2*LOG($M37),-1+0.1*LOG($M37)),-0.8)</f>
        <v>-0.8068881289407812</v>
      </c>
      <c r="P37" s="41">
        <f>IF(M37&lt;100,IF($H$8&gt;27,1-0.1*LOG($M37),0.7-0.2*LOG($M37)),IF($H$8&gt;27,0.8,0.3))</f>
        <v>0.3137762578815625</v>
      </c>
      <c r="Q37" s="41">
        <f>IF(M37&lt;100,IF($H$8&gt;27,-2.2+0.2*LOG($M37),-2.2),IF($H$8&gt;27,-1.8,-2.2))</f>
        <v>-2.2</v>
      </c>
      <c r="R37" s="41">
        <f>IF(M37&lt;100,IF($H$8&gt;27,1-0.1*LOG($M37),0.7-0.2*LOG($M37)),IF($H$8&gt;27,0.8,0.3))</f>
        <v>0.3137762578815625</v>
      </c>
      <c r="S37" s="41">
        <f>IF(M37&lt;100,IF($H$8&gt;27,-2.2+0.2*LOG($M37),-4.9+1.2*LOG($M37)),IF($H$8&gt;27,-1.8,-2.5))</f>
        <v>-2.582657547289376</v>
      </c>
      <c r="T37" s="38"/>
      <c r="AB37" s="9"/>
      <c r="AC37" s="11"/>
      <c r="AD37" s="11"/>
      <c r="AE37" s="11"/>
      <c r="AF37" s="11"/>
      <c r="AG37" s="18"/>
      <c r="AH37" s="18"/>
      <c r="AI37" s="18"/>
      <c r="AO37" s="12"/>
      <c r="AP37" s="16"/>
      <c r="AQ37" s="18"/>
      <c r="AR37" s="15"/>
      <c r="BA37" s="15"/>
      <c r="BM37" s="24"/>
      <c r="CI37" s="15"/>
      <c r="CK37" s="8"/>
    </row>
    <row r="38" spans="2:78" ht="12" customHeight="1">
      <c r="B38" s="40" t="s">
        <v>40</v>
      </c>
      <c r="C38" s="41">
        <f t="shared" si="8"/>
        <v>50</v>
      </c>
      <c r="D38" s="41">
        <f>1.1766-0.1766*LOG(C38)</f>
        <v>0.8765618972342591</v>
      </c>
      <c r="E38" s="41">
        <f>-1.2766+0.1766*LOG(C38)</f>
        <v>-0.976561897234259</v>
      </c>
      <c r="F38" s="41">
        <f>1.1766-0.1766*LOG(C38)</f>
        <v>0.8765618972342591</v>
      </c>
      <c r="G38" s="41">
        <f>-1.7532+0.3532*LOG(C38)</f>
        <v>-1.1531237944685182</v>
      </c>
      <c r="H38" s="25"/>
      <c r="I38" s="25"/>
      <c r="J38" s="25"/>
      <c r="L38" s="40" t="s">
        <v>77</v>
      </c>
      <c r="M38" s="41">
        <f t="shared" si="9"/>
        <v>32</v>
      </c>
      <c r="N38" s="41">
        <f>IF($H$8&gt;27,1-0.1*LOG($M38),0.7-0.2*LOG($M38))</f>
        <v>0.3989700043360187</v>
      </c>
      <c r="O38" s="41">
        <f>IF($H$8&gt;27,-1.2+0.2*LOG($M38),-1+0.1*LOG($M38))</f>
        <v>-0.8494850021680094</v>
      </c>
      <c r="P38" s="41">
        <f>IF($H$8&gt;27,1-0.1*LOG($M38),0.7-0.2*LOG($M38))</f>
        <v>0.3989700043360187</v>
      </c>
      <c r="Q38" s="41">
        <f>IF($H$8&gt;27,-2.2+0.2*LOG($M38),-2.2)</f>
        <v>-2.2</v>
      </c>
      <c r="R38" s="41">
        <f>IF($H$8&gt;27,1-0.1*LOG($M38),0.7-0.2*LOG($M38))</f>
        <v>0.3989700043360187</v>
      </c>
      <c r="S38" s="41">
        <f>IF($H$8&gt;27,-2.2+0.2*LOG($M38),-4.9+1.2*LOG($M38))</f>
        <v>-3.0938200260161133</v>
      </c>
      <c r="T38" s="38"/>
      <c r="AQ38" s="18"/>
      <c r="AR38" s="15"/>
      <c r="BA38" s="15"/>
      <c r="BB38" s="15"/>
      <c r="BC38" s="15"/>
      <c r="BH38" s="15"/>
      <c r="BM38" s="24"/>
      <c r="BZ38" s="15"/>
    </row>
    <row r="39" spans="2:78" ht="12" customHeight="1">
      <c r="B39" s="40" t="s">
        <v>41</v>
      </c>
      <c r="C39" s="41">
        <f t="shared" si="8"/>
        <v>100</v>
      </c>
      <c r="D39" s="41">
        <f>1.1766-0.1766*LOG(C39)</f>
        <v>0.8234000000000001</v>
      </c>
      <c r="E39" s="41">
        <f>-1.2766+0.1766*LOG(C39)</f>
        <v>-0.9234</v>
      </c>
      <c r="F39" s="41">
        <f>1.1766-0.1766*LOG(C39)</f>
        <v>0.8234000000000001</v>
      </c>
      <c r="G39" s="41">
        <f>-1.7532+0.3532*LOG(C39)</f>
        <v>-1.0468000000000002</v>
      </c>
      <c r="H39" s="25"/>
      <c r="I39" s="25"/>
      <c r="J39" s="25"/>
      <c r="L39" s="40" t="s">
        <v>38</v>
      </c>
      <c r="M39" s="41">
        <f t="shared" si="9"/>
        <v>10</v>
      </c>
      <c r="N39" s="41">
        <f>IF($H$8&gt;27,0.9,0.5)</f>
        <v>0.5</v>
      </c>
      <c r="O39" s="41">
        <f>IF($H$8&gt;27,-1,-0.9)</f>
        <v>-0.9</v>
      </c>
      <c r="P39" s="41">
        <f>IF($H$8&gt;27,0.9,0.5)</f>
        <v>0.5</v>
      </c>
      <c r="Q39" s="41">
        <f>IF($H$8&gt;27,-2,-2.2)</f>
        <v>-2.2</v>
      </c>
      <c r="R39" s="41">
        <f>IF($H$8&gt;27,0.9,0.5)</f>
        <v>0.5</v>
      </c>
      <c r="S39" s="41">
        <f>IF($H$8&gt;27,-2,-3.7)</f>
        <v>-3.7</v>
      </c>
      <c r="T39" s="38"/>
      <c r="AC39" s="17"/>
      <c r="AD39" s="11"/>
      <c r="AE39" s="11"/>
      <c r="AF39" s="11"/>
      <c r="AG39" s="23"/>
      <c r="AH39" s="23"/>
      <c r="AI39" s="23"/>
      <c r="BA39" s="15"/>
      <c r="BB39" s="15"/>
      <c r="BC39" s="15"/>
      <c r="BH39" s="15"/>
      <c r="BM39" s="24"/>
      <c r="BZ39" s="16"/>
    </row>
    <row r="40" spans="2:91" ht="12" customHeight="1">
      <c r="B40" s="40" t="s">
        <v>42</v>
      </c>
      <c r="C40" s="41">
        <f t="shared" si="8"/>
        <v>200</v>
      </c>
      <c r="D40" s="41">
        <f>1.1766-0.1766*LOG(C40)</f>
        <v>0.770238102765741</v>
      </c>
      <c r="E40" s="41">
        <f>-1.2766+0.1766*LOG(C40)</f>
        <v>-0.8702381027657409</v>
      </c>
      <c r="F40" s="41">
        <f>1.1766-0.1766*LOG(C40)</f>
        <v>0.770238102765741</v>
      </c>
      <c r="G40" s="41">
        <f>-1.7532+0.3532*LOG(C40)</f>
        <v>-0.9404762055314819</v>
      </c>
      <c r="H40" s="25"/>
      <c r="I40" s="25"/>
      <c r="J40" s="25"/>
      <c r="L40" s="40" t="s">
        <v>39</v>
      </c>
      <c r="M40" s="41">
        <f t="shared" si="9"/>
        <v>20</v>
      </c>
      <c r="N40" s="41">
        <f>IF($H$8&gt;27,1-0.1*LOG($M40),0.7-0.2*LOG($M40))</f>
        <v>0.4397940008672037</v>
      </c>
      <c r="O40" s="41">
        <f>IF($H$8&gt;27,-1.2+0.2*LOG($M40),-1+0.1*LOG($M40))</f>
        <v>-0.8698970004336019</v>
      </c>
      <c r="P40" s="41">
        <f>IF($H$8&gt;27,1-0.1*LOG($M40),0.7-0.2*LOG($M40))</f>
        <v>0.4397940008672037</v>
      </c>
      <c r="Q40" s="41">
        <f>IF($H$8&gt;27,-2.2+0.2*LOG($M40),-2.2)</f>
        <v>-2.2</v>
      </c>
      <c r="R40" s="41">
        <f>IF($H$8&gt;27,1-0.1*LOG($M40),0.7-0.2*LOG($M40))</f>
        <v>0.4397940008672037</v>
      </c>
      <c r="S40" s="41">
        <f>IF($H$8&gt;27,-2.2+0.2*LOG($M40),-4.9+1.2*LOG($M40))</f>
        <v>-3.338764005203223</v>
      </c>
      <c r="T40" s="38"/>
      <c r="AC40" s="9"/>
      <c r="AD40" s="11"/>
      <c r="AE40" s="11"/>
      <c r="AF40" s="11"/>
      <c r="AG40" s="11"/>
      <c r="AH40" s="18"/>
      <c r="AI40" s="18"/>
      <c r="AJ40" s="18"/>
      <c r="BI40" s="19"/>
      <c r="BL40" s="8"/>
      <c r="BN40" s="24"/>
      <c r="CA40" s="16"/>
      <c r="CM40" s="8"/>
    </row>
    <row r="41" spans="2:91" ht="12" customHeight="1">
      <c r="B41" s="40" t="s">
        <v>43</v>
      </c>
      <c r="C41" s="41">
        <f t="shared" si="8"/>
        <v>500</v>
      </c>
      <c r="D41" s="41">
        <v>0.7</v>
      </c>
      <c r="E41" s="41">
        <v>-0.8</v>
      </c>
      <c r="F41" s="41">
        <v>0.7</v>
      </c>
      <c r="G41" s="41">
        <v>-0.8</v>
      </c>
      <c r="L41" s="40" t="s">
        <v>40</v>
      </c>
      <c r="M41" s="41">
        <f t="shared" si="9"/>
        <v>50</v>
      </c>
      <c r="N41" s="41">
        <f>IF($H$8&gt;27,1-0.1*LOG($M41),0.7-0.2*LOG($M41))</f>
        <v>0.36020599913279616</v>
      </c>
      <c r="O41" s="41">
        <f>IF($H$8&gt;27,-1.2+0.2*LOG($M41),-1+0.1*LOG($M41))</f>
        <v>-0.8301029995663981</v>
      </c>
      <c r="P41" s="41">
        <f>IF($H$8&gt;27,1-0.1*LOG($M41),0.7-0.2*LOG($M41))</f>
        <v>0.36020599913279616</v>
      </c>
      <c r="Q41" s="41">
        <f>IF($H$8&gt;27,-2.2+0.2*LOG($M41),-2.2)</f>
        <v>-2.2</v>
      </c>
      <c r="R41" s="41">
        <f>IF($H$8&gt;27,1-0.1*LOG($M41),0.7-0.2*LOG($M41))</f>
        <v>0.36020599913279616</v>
      </c>
      <c r="S41" s="41">
        <f>IF($H$8&gt;27,-2.2+0.2*LOG($M41),-4.9+1.2*LOG($M41))</f>
        <v>-2.861235994796778</v>
      </c>
      <c r="T41" s="38"/>
      <c r="AC41" s="9"/>
      <c r="AD41" s="11"/>
      <c r="AE41" s="11"/>
      <c r="AF41" s="11"/>
      <c r="AG41" s="11"/>
      <c r="AH41" s="18"/>
      <c r="AI41" s="18"/>
      <c r="AJ41" s="18"/>
      <c r="BI41" s="19"/>
      <c r="BL41" s="8"/>
      <c r="BN41" s="24"/>
      <c r="CA41" s="16"/>
      <c r="CM41" s="8"/>
    </row>
    <row r="42" spans="12:91" ht="12" customHeight="1">
      <c r="L42" s="40" t="s">
        <v>51</v>
      </c>
      <c r="M42" s="41">
        <f t="shared" si="9"/>
        <v>100</v>
      </c>
      <c r="N42" s="41">
        <f>IF($H$8&gt;27,0.8,0.3)</f>
        <v>0.3</v>
      </c>
      <c r="O42" s="41">
        <v>-0.8</v>
      </c>
      <c r="P42" s="41">
        <f>IF($H$8&gt;27,0.8,0.3)</f>
        <v>0.3</v>
      </c>
      <c r="Q42" s="41">
        <f>IF($H$8&gt;27,-1.8,-2.2)</f>
        <v>-2.2</v>
      </c>
      <c r="R42" s="41">
        <f>IF($H$8&gt;27,0.8,0.3)</f>
        <v>0.3</v>
      </c>
      <c r="S42" s="41">
        <f>IF($H$8&gt;27,-1.8,-2.5)</f>
        <v>-2.5</v>
      </c>
      <c r="T42" s="38"/>
      <c r="AC42" s="9"/>
      <c r="AD42" s="11"/>
      <c r="AE42" s="11"/>
      <c r="AF42" s="11"/>
      <c r="AG42" s="11"/>
      <c r="AH42" s="18"/>
      <c r="AI42" s="18"/>
      <c r="AJ42" s="18"/>
      <c r="BI42" s="19"/>
      <c r="BL42" s="8"/>
      <c r="BN42" s="24"/>
      <c r="CA42" s="16"/>
      <c r="CM42" s="8"/>
    </row>
    <row r="43" spans="2:91" ht="12" customHeight="1">
      <c r="B43" s="44" t="s">
        <v>45</v>
      </c>
      <c r="C43" s="40"/>
      <c r="D43" s="40" t="s">
        <v>76</v>
      </c>
      <c r="E43" s="40"/>
      <c r="F43" s="59">
        <f>IF(H8&gt;10,"","(GCp for walls reduced by 10% when θ ≤ 10 degrees)")</f>
      </c>
      <c r="G43" s="42"/>
      <c r="L43" s="40"/>
      <c r="M43" s="40"/>
      <c r="N43" s="40"/>
      <c r="O43" s="41"/>
      <c r="P43" s="41"/>
      <c r="Q43" s="42"/>
      <c r="S43" s="25"/>
      <c r="T43" s="38"/>
      <c r="AC43" s="9"/>
      <c r="AD43" s="11"/>
      <c r="AE43" s="11"/>
      <c r="AF43" s="11"/>
      <c r="AG43" s="11"/>
      <c r="AH43" s="18"/>
      <c r="AI43" s="18"/>
      <c r="AJ43" s="18"/>
      <c r="BI43" s="19"/>
      <c r="BL43" s="8"/>
      <c r="BN43" s="24"/>
      <c r="CA43" s="16"/>
      <c r="CM43" s="8"/>
    </row>
    <row r="44" spans="2:91" ht="12" customHeight="1">
      <c r="B44" s="45" t="s">
        <v>34</v>
      </c>
      <c r="C44" s="45" t="s">
        <v>36</v>
      </c>
      <c r="D44" s="45" t="s">
        <v>48</v>
      </c>
      <c r="E44" s="46" t="s">
        <v>49</v>
      </c>
      <c r="F44" s="46" t="s">
        <v>46</v>
      </c>
      <c r="G44" s="45" t="s">
        <v>47</v>
      </c>
      <c r="L44" s="44" t="s">
        <v>55</v>
      </c>
      <c r="M44" s="40"/>
      <c r="N44" s="49" t="s">
        <v>63</v>
      </c>
      <c r="O44" s="40" t="s">
        <v>76</v>
      </c>
      <c r="P44" s="41"/>
      <c r="Q44" s="42"/>
      <c r="S44" s="25"/>
      <c r="T44" s="38"/>
      <c r="AC44" s="9"/>
      <c r="AD44" s="11"/>
      <c r="AE44" s="11"/>
      <c r="AF44" s="11"/>
      <c r="AG44" s="11"/>
      <c r="AH44" s="18"/>
      <c r="AI44" s="18"/>
      <c r="AJ44" s="18"/>
      <c r="BI44" s="19"/>
      <c r="BL44" s="8"/>
      <c r="BN44" s="24"/>
      <c r="CA44" s="16"/>
      <c r="CM44" s="8"/>
    </row>
    <row r="45" spans="2:91" ht="12" customHeight="1">
      <c r="B45" s="40" t="s">
        <v>37</v>
      </c>
      <c r="C45" s="41">
        <f aca="true" t="shared" si="10" ref="C45:C52">F20</f>
        <v>40.333333333333336</v>
      </c>
      <c r="D45" s="48">
        <f aca="true" t="shared" si="11" ref="D45:D52">IF($H$8&gt;10,$F$16*(D34+$F$7),$F$16*(D34*0.9+$F$7))</f>
        <v>47.61968412106348</v>
      </c>
      <c r="E45" s="48">
        <f aca="true" t="shared" si="12" ref="E45:E52">IF($H$8&gt;10,$F$16*(E34+$G$7),$F$16*(E34*0.9+$G$7))</f>
        <v>-52.05751464666242</v>
      </c>
      <c r="F45" s="48">
        <f aca="true" t="shared" si="13" ref="F45:F52">IF($H$8&gt;10,$F$16*(F34+$F$7),$F$16*(F34*0.9+$F$7))</f>
        <v>47.61968412106348</v>
      </c>
      <c r="G45" s="48">
        <f aca="true" t="shared" si="14" ref="G45:G52">IF($H$8&gt;10,$F$16*(G34+$G$7),$F$16*(G34*0.9+$G$7))</f>
        <v>-60.62429014245517</v>
      </c>
      <c r="H45" s="11"/>
      <c r="J45" s="36"/>
      <c r="L45" s="45" t="s">
        <v>34</v>
      </c>
      <c r="M45" s="45" t="s">
        <v>36</v>
      </c>
      <c r="N45" s="46" t="s">
        <v>56</v>
      </c>
      <c r="O45" s="46" t="s">
        <v>57</v>
      </c>
      <c r="P45" s="46" t="s">
        <v>58</v>
      </c>
      <c r="Q45" s="46" t="s">
        <v>59</v>
      </c>
      <c r="R45" s="46" t="s">
        <v>60</v>
      </c>
      <c r="S45" s="46" t="s">
        <v>61</v>
      </c>
      <c r="T45" s="38"/>
      <c r="AC45" s="9"/>
      <c r="AD45" s="11"/>
      <c r="AE45" s="11"/>
      <c r="AF45" s="11"/>
      <c r="AG45" s="11"/>
      <c r="AH45" s="18"/>
      <c r="AI45" s="18"/>
      <c r="AJ45" s="18"/>
      <c r="BI45" s="19"/>
      <c r="BL45" s="8"/>
      <c r="BN45" s="24"/>
      <c r="CA45" s="16"/>
      <c r="CM45" s="8"/>
    </row>
    <row r="46" spans="2:91" ht="12" customHeight="1">
      <c r="B46" s="40" t="s">
        <v>77</v>
      </c>
      <c r="C46" s="41">
        <f t="shared" si="10"/>
        <v>32</v>
      </c>
      <c r="D46" s="48">
        <f t="shared" si="11"/>
        <v>48.40743439302784</v>
      </c>
      <c r="E46" s="48">
        <f t="shared" si="12"/>
        <v>-52.845264918626775</v>
      </c>
      <c r="F46" s="48">
        <f t="shared" si="13"/>
        <v>48.40743439302784</v>
      </c>
      <c r="G46" s="48">
        <f t="shared" si="14"/>
        <v>-62.1997906863839</v>
      </c>
      <c r="J46" s="25"/>
      <c r="L46" s="40" t="s">
        <v>52</v>
      </c>
      <c r="M46" s="41">
        <f aca="true" t="shared" si="15" ref="M46:M51">P4</f>
        <v>85.33333333333333</v>
      </c>
      <c r="N46" s="48">
        <f aca="true" t="shared" si="16" ref="N46:N51">$F$16*(N37+$F$7)</f>
        <v>21.91295350042815</v>
      </c>
      <c r="O46" s="48">
        <f aca="true" t="shared" si="17" ref="O46:O51">$F$16*(O37+$G$7)</f>
        <v>-43.796422639646266</v>
      </c>
      <c r="P46" s="48">
        <f aca="true" t="shared" si="18" ref="P46:P51">$F$16*(P37+$F$7)</f>
        <v>21.91295350042815</v>
      </c>
      <c r="Q46" s="48">
        <f aca="true" t="shared" si="19" ref="Q46:Q51">$F$16*(Q37+$G$7)</f>
        <v>-105.62036650925491</v>
      </c>
      <c r="R46" s="48">
        <f aca="true" t="shared" si="20" ref="R46:R51">$F$16*(R37+$F$7)</f>
        <v>21.91295350042815</v>
      </c>
      <c r="S46" s="48">
        <f aca="true" t="shared" si="21" ref="S46:S51">$F$16*(S37+$G$7)</f>
        <v>-122.60205995137105</v>
      </c>
      <c r="T46" s="38"/>
      <c r="AC46" s="9"/>
      <c r="AD46" s="11"/>
      <c r="AE46" s="11"/>
      <c r="AF46" s="11"/>
      <c r="AG46" s="11"/>
      <c r="AH46" s="18"/>
      <c r="AI46" s="18"/>
      <c r="AJ46" s="18"/>
      <c r="BI46" s="19"/>
      <c r="BL46" s="8"/>
      <c r="BN46" s="24"/>
      <c r="CA46" s="16"/>
      <c r="CM46" s="8"/>
    </row>
    <row r="47" spans="2:91" ht="12" customHeight="1">
      <c r="B47" s="40" t="s">
        <v>38</v>
      </c>
      <c r="C47" s="41">
        <f t="shared" si="10"/>
        <v>10</v>
      </c>
      <c r="D47" s="41">
        <f t="shared" si="11"/>
        <v>52.36640020206755</v>
      </c>
      <c r="E47" s="41">
        <f t="shared" si="12"/>
        <v>-56.8042307276665</v>
      </c>
      <c r="F47" s="41">
        <f t="shared" si="13"/>
        <v>52.36640020206755</v>
      </c>
      <c r="G47" s="41">
        <f t="shared" si="14"/>
        <v>-70.11772230446333</v>
      </c>
      <c r="H47" s="36"/>
      <c r="I47" s="36"/>
      <c r="J47" s="25"/>
      <c r="L47" s="40" t="s">
        <v>77</v>
      </c>
      <c r="M47" s="41">
        <f t="shared" si="15"/>
        <v>32</v>
      </c>
      <c r="N47" s="48">
        <f t="shared" si="16"/>
        <v>25.693707586485374</v>
      </c>
      <c r="O47" s="48">
        <f t="shared" si="17"/>
        <v>-45.68679968267488</v>
      </c>
      <c r="P47" s="48">
        <f t="shared" si="18"/>
        <v>25.693707586485374</v>
      </c>
      <c r="Q47" s="48">
        <f t="shared" si="19"/>
        <v>-105.62036650925491</v>
      </c>
      <c r="R47" s="48">
        <f t="shared" si="20"/>
        <v>25.693707586485374</v>
      </c>
      <c r="S47" s="48">
        <f t="shared" si="21"/>
        <v>-145.28658446771442</v>
      </c>
      <c r="AC47" s="9"/>
      <c r="AD47" s="11"/>
      <c r="AE47" s="11"/>
      <c r="AF47" s="11"/>
      <c r="AG47" s="11"/>
      <c r="AH47" s="18"/>
      <c r="AI47" s="18"/>
      <c r="AJ47" s="18"/>
      <c r="BI47" s="19"/>
      <c r="BL47" s="8"/>
      <c r="BN47" s="24"/>
      <c r="CA47" s="16"/>
      <c r="CM47" s="8"/>
    </row>
    <row r="48" spans="2:91" ht="12" customHeight="1">
      <c r="B48" s="40" t="s">
        <v>39</v>
      </c>
      <c r="C48" s="41">
        <f t="shared" si="10"/>
        <v>20</v>
      </c>
      <c r="D48" s="41">
        <f t="shared" si="11"/>
        <v>50.00716529861807</v>
      </c>
      <c r="E48" s="41">
        <f t="shared" si="12"/>
        <v>-54.44499582421701</v>
      </c>
      <c r="F48" s="41">
        <f t="shared" si="13"/>
        <v>50.00716529861807</v>
      </c>
      <c r="G48" s="41">
        <f t="shared" si="14"/>
        <v>-65.39925249756435</v>
      </c>
      <c r="H48" s="25"/>
      <c r="I48" s="25"/>
      <c r="J48" s="25"/>
      <c r="L48" s="40" t="s">
        <v>38</v>
      </c>
      <c r="M48" s="41">
        <f t="shared" si="15"/>
        <v>10</v>
      </c>
      <c r="N48" s="41">
        <f t="shared" si="16"/>
        <v>30.177247574072826</v>
      </c>
      <c r="O48" s="41">
        <f t="shared" si="17"/>
        <v>-47.92856967646861</v>
      </c>
      <c r="P48" s="41">
        <f t="shared" si="18"/>
        <v>30.177247574072826</v>
      </c>
      <c r="Q48" s="41">
        <f t="shared" si="19"/>
        <v>-105.62036650925491</v>
      </c>
      <c r="R48" s="41">
        <f t="shared" si="20"/>
        <v>30.177247574072826</v>
      </c>
      <c r="S48" s="41">
        <f t="shared" si="21"/>
        <v>-172.18782439323908</v>
      </c>
      <c r="AC48" s="9"/>
      <c r="AD48" s="11"/>
      <c r="AE48" s="11"/>
      <c r="AF48" s="11"/>
      <c r="AG48" s="11"/>
      <c r="AH48" s="18"/>
      <c r="AI48" s="18"/>
      <c r="AJ48" s="18"/>
      <c r="BI48" s="19"/>
      <c r="BL48" s="8"/>
      <c r="BN48" s="24"/>
      <c r="CA48" s="16"/>
      <c r="CM48" s="8"/>
    </row>
    <row r="49" spans="2:91" ht="12" customHeight="1">
      <c r="B49" s="40" t="s">
        <v>40</v>
      </c>
      <c r="C49" s="41">
        <f t="shared" si="10"/>
        <v>50</v>
      </c>
      <c r="D49" s="41">
        <f t="shared" si="11"/>
        <v>46.88842639730931</v>
      </c>
      <c r="E49" s="41">
        <f t="shared" si="12"/>
        <v>-51.32625692290825</v>
      </c>
      <c r="F49" s="41">
        <f t="shared" si="13"/>
        <v>46.88842639730931</v>
      </c>
      <c r="G49" s="41">
        <f t="shared" si="14"/>
        <v>-59.16177469494684</v>
      </c>
      <c r="H49" s="25"/>
      <c r="I49" s="25"/>
      <c r="J49" s="25"/>
      <c r="L49" s="40" t="s">
        <v>39</v>
      </c>
      <c r="M49" s="41">
        <f t="shared" si="15"/>
        <v>20</v>
      </c>
      <c r="N49" s="41">
        <f t="shared" si="16"/>
        <v>27.505407366315758</v>
      </c>
      <c r="O49" s="41">
        <f t="shared" si="17"/>
        <v>-46.592649572590076</v>
      </c>
      <c r="P49" s="41">
        <f t="shared" si="18"/>
        <v>27.505407366315758</v>
      </c>
      <c r="Q49" s="41">
        <f t="shared" si="19"/>
        <v>-105.62036650925491</v>
      </c>
      <c r="R49" s="41">
        <f t="shared" si="20"/>
        <v>27.505407366315758</v>
      </c>
      <c r="S49" s="41">
        <f t="shared" si="21"/>
        <v>-156.1567831466967</v>
      </c>
      <c r="AC49" s="9"/>
      <c r="AD49" s="11"/>
      <c r="AE49" s="11"/>
      <c r="AF49" s="11"/>
      <c r="AG49" s="11"/>
      <c r="AH49" s="18"/>
      <c r="AI49" s="18"/>
      <c r="AJ49" s="18"/>
      <c r="BI49" s="19"/>
      <c r="BL49" s="8"/>
      <c r="BN49" s="24"/>
      <c r="CA49" s="16"/>
      <c r="CM49" s="8"/>
    </row>
    <row r="50" spans="2:91" ht="12" customHeight="1">
      <c r="B50" s="40" t="s">
        <v>41</v>
      </c>
      <c r="C50" s="41">
        <f t="shared" si="10"/>
        <v>100</v>
      </c>
      <c r="D50" s="41">
        <f t="shared" si="11"/>
        <v>44.52919149385982</v>
      </c>
      <c r="E50" s="41">
        <f t="shared" si="12"/>
        <v>-48.96702201945876</v>
      </c>
      <c r="F50" s="41">
        <f t="shared" si="13"/>
        <v>44.52919149385982</v>
      </c>
      <c r="G50" s="41">
        <f t="shared" si="14"/>
        <v>-54.44330488804786</v>
      </c>
      <c r="H50" s="25"/>
      <c r="I50" s="25"/>
      <c r="J50" s="25"/>
      <c r="L50" s="40" t="s">
        <v>40</v>
      </c>
      <c r="M50" s="41">
        <f t="shared" si="15"/>
        <v>50</v>
      </c>
      <c r="N50" s="41">
        <f t="shared" si="16"/>
        <v>23.973426730632</v>
      </c>
      <c r="O50" s="41">
        <f t="shared" si="17"/>
        <v>-44.8266592547482</v>
      </c>
      <c r="P50" s="41">
        <f t="shared" si="18"/>
        <v>23.973426730632</v>
      </c>
      <c r="Q50" s="41">
        <f t="shared" si="19"/>
        <v>-105.62036650925491</v>
      </c>
      <c r="R50" s="41">
        <f t="shared" si="20"/>
        <v>23.973426730632</v>
      </c>
      <c r="S50" s="41">
        <f t="shared" si="21"/>
        <v>-134.96489933259417</v>
      </c>
      <c r="AC50" s="9"/>
      <c r="AD50" s="11"/>
      <c r="AE50" s="11"/>
      <c r="AF50" s="11"/>
      <c r="AG50" s="11"/>
      <c r="AH50" s="18"/>
      <c r="AI50" s="18"/>
      <c r="AJ50" s="18"/>
      <c r="BI50" s="19"/>
      <c r="BL50" s="8"/>
      <c r="BN50" s="24"/>
      <c r="CA50" s="16"/>
      <c r="CM50" s="8"/>
    </row>
    <row r="51" spans="2:91" ht="12" customHeight="1">
      <c r="B51" s="40" t="s">
        <v>42</v>
      </c>
      <c r="C51" s="41">
        <f t="shared" si="10"/>
        <v>200</v>
      </c>
      <c r="D51" s="41">
        <f t="shared" si="11"/>
        <v>42.16995659041033</v>
      </c>
      <c r="E51" s="41">
        <f t="shared" si="12"/>
        <v>-46.60778711600927</v>
      </c>
      <c r="F51" s="41">
        <f t="shared" si="13"/>
        <v>42.16995659041033</v>
      </c>
      <c r="G51" s="41">
        <f t="shared" si="14"/>
        <v>-49.72483508114888</v>
      </c>
      <c r="H51" s="25"/>
      <c r="I51" s="25"/>
      <c r="J51" s="25"/>
      <c r="L51" s="40" t="s">
        <v>41</v>
      </c>
      <c r="M51" s="41">
        <f t="shared" si="15"/>
        <v>100</v>
      </c>
      <c r="N51" s="41">
        <f t="shared" si="16"/>
        <v>21.301586522874935</v>
      </c>
      <c r="O51" s="41">
        <f t="shared" si="17"/>
        <v>-43.490739150869665</v>
      </c>
      <c r="P51" s="41">
        <f t="shared" si="18"/>
        <v>21.301586522874935</v>
      </c>
      <c r="Q51" s="41">
        <f t="shared" si="19"/>
        <v>-105.62036650925491</v>
      </c>
      <c r="R51" s="41">
        <f t="shared" si="20"/>
        <v>21.301586522874935</v>
      </c>
      <c r="S51" s="41">
        <f t="shared" si="21"/>
        <v>-118.93385808605174</v>
      </c>
      <c r="AC51" s="9"/>
      <c r="AD51" s="11"/>
      <c r="AE51" s="11"/>
      <c r="AF51" s="11"/>
      <c r="AG51" s="11"/>
      <c r="AH51" s="18"/>
      <c r="AI51" s="18"/>
      <c r="AJ51" s="18"/>
      <c r="BI51" s="19"/>
      <c r="BL51" s="8"/>
      <c r="BN51" s="24"/>
      <c r="CA51" s="16"/>
      <c r="CM51" s="8"/>
    </row>
    <row r="52" spans="2:91" ht="12" customHeight="1">
      <c r="B52" s="40" t="s">
        <v>43</v>
      </c>
      <c r="C52" s="41">
        <f t="shared" si="10"/>
        <v>500</v>
      </c>
      <c r="D52" s="41">
        <f t="shared" si="11"/>
        <v>39.05290862527071</v>
      </c>
      <c r="E52" s="41">
        <f t="shared" si="12"/>
        <v>-43.490739150869665</v>
      </c>
      <c r="F52" s="41">
        <f t="shared" si="13"/>
        <v>39.05290862527071</v>
      </c>
      <c r="G52" s="41">
        <f t="shared" si="14"/>
        <v>-43.490739150869665</v>
      </c>
      <c r="H52" s="25"/>
      <c r="I52" s="25"/>
      <c r="J52" s="25"/>
      <c r="R52" s="23"/>
      <c r="AC52" s="9"/>
      <c r="AD52" s="11"/>
      <c r="AE52" s="11"/>
      <c r="AF52" s="11"/>
      <c r="AG52" s="11"/>
      <c r="AH52" s="18"/>
      <c r="AI52" s="18"/>
      <c r="AJ52" s="18"/>
      <c r="BI52" s="19"/>
      <c r="BL52" s="8"/>
      <c r="BN52" s="24"/>
      <c r="CA52" s="16"/>
      <c r="CM52" s="8"/>
    </row>
    <row r="53" spans="4:91" ht="12" customHeight="1">
      <c r="D53" s="10"/>
      <c r="E53" s="39"/>
      <c r="F53" s="35"/>
      <c r="G53" s="35"/>
      <c r="H53" s="25"/>
      <c r="I53" s="25"/>
      <c r="J53" s="25"/>
      <c r="L53" s="53" t="s">
        <v>72</v>
      </c>
      <c r="M53" s="53"/>
      <c r="R53" s="23"/>
      <c r="S53" s="8"/>
      <c r="T53" s="58"/>
      <c r="AC53" s="9"/>
      <c r="AD53" s="11"/>
      <c r="AE53" s="11"/>
      <c r="AF53" s="11"/>
      <c r="AG53" s="11"/>
      <c r="AH53" s="18"/>
      <c r="AI53" s="18"/>
      <c r="AJ53" s="18"/>
      <c r="BI53" s="19"/>
      <c r="BL53" s="8"/>
      <c r="BN53" s="24"/>
      <c r="CA53" s="16"/>
      <c r="CM53" s="8"/>
    </row>
    <row r="54" spans="2:56" ht="12" customHeight="1">
      <c r="B54" s="55" t="s">
        <v>73</v>
      </c>
      <c r="D54" s="10"/>
      <c r="E54" s="39"/>
      <c r="F54" s="35"/>
      <c r="G54" s="35"/>
      <c r="H54" s="25"/>
      <c r="I54" s="25"/>
      <c r="J54" s="25"/>
      <c r="L54" s="7" t="s">
        <v>66</v>
      </c>
      <c r="M54" s="7">
        <v>0.1</v>
      </c>
      <c r="N54" s="10" t="s">
        <v>67</v>
      </c>
      <c r="O54" s="52">
        <v>16</v>
      </c>
      <c r="P54" s="35" t="s">
        <v>68</v>
      </c>
      <c r="Q54" s="35">
        <f>M54*O54</f>
        <v>1.6</v>
      </c>
      <c r="R54" s="14" t="s">
        <v>69</v>
      </c>
      <c r="S54" s="8">
        <f>IF(Q54&lt;=MIN($Q$54:$Q$55),IF(Q54&gt;=MAX($Q$56:$Q$57),"(controls)",""),"")</f>
      </c>
      <c r="T54" s="58">
        <f>IF(Q54&lt;=MIN($Q$54:$Q$55),IF(Q54&gt;=MAX($Q$56:$Q$57),CONCATENATE("a = ",Q54," ft"),""),"")</f>
      </c>
      <c r="AC54" s="9"/>
      <c r="AD54" s="11"/>
      <c r="AE54" s="11"/>
      <c r="AF54" s="11"/>
      <c r="AG54" s="11"/>
      <c r="AH54" s="18"/>
      <c r="AI54" s="18"/>
      <c r="AJ54" s="18"/>
      <c r="BB54" s="15"/>
      <c r="BC54" s="15"/>
      <c r="BD54" s="15"/>
    </row>
    <row r="55" spans="2:55" ht="12" customHeight="1">
      <c r="B55" s="55" t="s">
        <v>74</v>
      </c>
      <c r="D55" s="10"/>
      <c r="E55" s="39"/>
      <c r="F55" s="35"/>
      <c r="G55" s="35"/>
      <c r="H55" s="14"/>
      <c r="I55" s="25"/>
      <c r="J55" s="25"/>
      <c r="M55" s="7">
        <v>0.4</v>
      </c>
      <c r="N55" s="7" t="s">
        <v>67</v>
      </c>
      <c r="O55" s="39">
        <f>F11</f>
        <v>14.415</v>
      </c>
      <c r="P55" s="35" t="s">
        <v>68</v>
      </c>
      <c r="Q55" s="35">
        <f>M55*O55</f>
        <v>5.766</v>
      </c>
      <c r="R55" s="14" t="s">
        <v>69</v>
      </c>
      <c r="S55" s="8">
        <f>IF(Q55&lt;=MIN($Q$54:$Q$55),IF(Q55&gt;=MAX($Q$56:$Q$57),"(controls)",""),"")</f>
      </c>
      <c r="T55" s="58">
        <f>IF(Q55&lt;=MIN($Q$54:$Q$55),IF(Q55&gt;=MAX($Q$56:$Q$57),CONCATENATE("a = ",Q55," ft"),""),"")</f>
      </c>
      <c r="AB55" s="9"/>
      <c r="AC55" s="11"/>
      <c r="AD55" s="11"/>
      <c r="AE55" s="11"/>
      <c r="AF55" s="11"/>
      <c r="AG55" s="18"/>
      <c r="AH55" s="18"/>
      <c r="AI55" s="18"/>
      <c r="BA55" s="15"/>
      <c r="BB55" s="15"/>
      <c r="BC55" s="15"/>
    </row>
    <row r="56" spans="5:55" ht="12" customHeight="1">
      <c r="E56" s="39"/>
      <c r="F56" s="35"/>
      <c r="G56" s="35"/>
      <c r="H56" s="14"/>
      <c r="I56" s="25"/>
      <c r="J56" s="25"/>
      <c r="L56" s="7" t="s">
        <v>70</v>
      </c>
      <c r="M56" s="7">
        <v>0.04</v>
      </c>
      <c r="N56" s="7" t="s">
        <v>67</v>
      </c>
      <c r="O56" s="39">
        <f>O54</f>
        <v>16</v>
      </c>
      <c r="P56" s="35" t="s">
        <v>68</v>
      </c>
      <c r="Q56" s="35">
        <f>M56*O56</f>
        <v>0.64</v>
      </c>
      <c r="R56" s="14" t="s">
        <v>69</v>
      </c>
      <c r="S56" s="8">
        <f>IF(Q56&gt;=MIN($Q$54:$Q$55),IF(Q56&gt;=MAX($Q$56:$Q$57),"(controls)",""),"")</f>
      </c>
      <c r="T56" s="58">
        <f>IF(Q56&gt;=MIN($Q$54:$Q$55),IF(Q56&gt;=MAX($Q$56:$Q$57),CONCATENATE("a = ",Q56," ft"),""),"")</f>
      </c>
      <c r="AB56" s="9"/>
      <c r="AC56" s="11"/>
      <c r="AD56" s="11"/>
      <c r="AE56" s="11"/>
      <c r="AF56" s="11"/>
      <c r="AG56" s="18"/>
      <c r="AH56" s="18"/>
      <c r="AI56" s="18"/>
      <c r="BA56" s="15"/>
      <c r="BB56" s="15"/>
      <c r="BC56" s="15"/>
    </row>
    <row r="57" spans="5:55" ht="12" customHeight="1">
      <c r="E57" s="39"/>
      <c r="F57" s="35"/>
      <c r="G57" s="35"/>
      <c r="H57" s="25"/>
      <c r="I57" s="25"/>
      <c r="J57" s="25"/>
      <c r="P57" s="7" t="s">
        <v>71</v>
      </c>
      <c r="Q57" s="7">
        <v>3</v>
      </c>
      <c r="R57" s="7" t="s">
        <v>69</v>
      </c>
      <c r="S57" s="8" t="str">
        <f>IF(Q57&gt;=MIN($Q$54:$Q$55),IF(Q57&gt;=MAX($Q$56:$Q$57),"(controls)",""),"")</f>
        <v>(controls)</v>
      </c>
      <c r="T57" s="58" t="str">
        <f>IF(Q57&gt;=MIN($Q$54:$Q$55),IF(Q57&gt;=MAX($Q$56:$Q$57),CONCATENATE("a = ",Q57," ft"),""),"")</f>
        <v>a = 3 ft</v>
      </c>
      <c r="AB57" s="9"/>
      <c r="AC57" s="11"/>
      <c r="AD57" s="11"/>
      <c r="AE57" s="11"/>
      <c r="AF57" s="11"/>
      <c r="AG57" s="18"/>
      <c r="AH57" s="18"/>
      <c r="AI57" s="18"/>
      <c r="BA57" s="15"/>
      <c r="BB57" s="15"/>
      <c r="BC57" s="15"/>
    </row>
    <row r="58" spans="5:55" ht="12" customHeight="1">
      <c r="E58" s="39"/>
      <c r="F58" s="35"/>
      <c r="G58" s="35"/>
      <c r="H58" s="25"/>
      <c r="I58" s="25"/>
      <c r="J58" s="25"/>
      <c r="AB58" s="9"/>
      <c r="AC58" s="11"/>
      <c r="AD58" s="11"/>
      <c r="AE58" s="11"/>
      <c r="AF58" s="11"/>
      <c r="AG58" s="18"/>
      <c r="AH58" s="18"/>
      <c r="AI58" s="18"/>
      <c r="BA58" s="15"/>
      <c r="BB58" s="15"/>
      <c r="BC58" s="15"/>
    </row>
    <row r="59" spans="1:90" s="8" customFormat="1" ht="12" customHeight="1">
      <c r="A59" s="7"/>
      <c r="B59" s="7"/>
      <c r="C59" s="7"/>
      <c r="D59" s="7"/>
      <c r="E59" s="9"/>
      <c r="F59" s="10"/>
      <c r="G59" s="11"/>
      <c r="H59" s="7"/>
      <c r="I59" s="7"/>
      <c r="J59" s="7"/>
      <c r="K59" s="7"/>
      <c r="L59" s="55" t="s">
        <v>73</v>
      </c>
      <c r="M59" s="7"/>
      <c r="N59" s="7"/>
      <c r="O59" s="7"/>
      <c r="P59" s="7"/>
      <c r="Q59" s="7"/>
      <c r="R59" s="7"/>
      <c r="S59" s="7"/>
      <c r="T59" s="7"/>
      <c r="AB59" s="9"/>
      <c r="AC59" s="11"/>
      <c r="AD59" s="11"/>
      <c r="AE59" s="11"/>
      <c r="AF59" s="11"/>
      <c r="AG59" s="18"/>
      <c r="AH59" s="18"/>
      <c r="AI59" s="18"/>
      <c r="AJ59" s="7"/>
      <c r="AL59" s="7"/>
      <c r="AM59" s="7"/>
      <c r="AN59" s="15"/>
      <c r="AO59" s="15"/>
      <c r="AP59" s="15"/>
      <c r="AQ59" s="15"/>
      <c r="AR59" s="15"/>
      <c r="AS59" s="13"/>
      <c r="AT59" s="15"/>
      <c r="BA59" s="15"/>
      <c r="BB59" s="15"/>
      <c r="BC59" s="7"/>
      <c r="BD59" s="7"/>
      <c r="BE59" s="7"/>
      <c r="BF59" s="7"/>
      <c r="BG59" s="7"/>
      <c r="BH59" s="7"/>
      <c r="BI59" s="7"/>
      <c r="BJ59" s="7"/>
      <c r="BK59" s="7"/>
      <c r="CE59" s="7"/>
      <c r="CF59" s="7"/>
      <c r="CG59" s="7"/>
      <c r="CH59" s="7"/>
      <c r="CI59" s="7"/>
      <c r="CJ59" s="7"/>
      <c r="CK59" s="7"/>
      <c r="CL59" s="7"/>
    </row>
    <row r="60" spans="1:90" s="8" customFormat="1" ht="12" customHeight="1">
      <c r="A60" s="7"/>
      <c r="B60" s="11"/>
      <c r="C60" s="11"/>
      <c r="D60" s="36"/>
      <c r="E60" s="37"/>
      <c r="F60" s="37"/>
      <c r="G60" s="37"/>
      <c r="H60" s="11"/>
      <c r="I60" s="50"/>
      <c r="J60" s="50"/>
      <c r="K60" s="7"/>
      <c r="L60" s="55" t="s">
        <v>74</v>
      </c>
      <c r="M60" s="7"/>
      <c r="N60" s="7"/>
      <c r="O60" s="7"/>
      <c r="P60" s="7"/>
      <c r="Q60" s="7"/>
      <c r="R60" s="7"/>
      <c r="S60" s="7"/>
      <c r="T60" s="7"/>
      <c r="AB60" s="9"/>
      <c r="AC60" s="11"/>
      <c r="AD60" s="11"/>
      <c r="AE60" s="11"/>
      <c r="AF60" s="11"/>
      <c r="AG60" s="18"/>
      <c r="AH60" s="18"/>
      <c r="AI60" s="18"/>
      <c r="AJ60" s="7"/>
      <c r="AL60" s="7"/>
      <c r="AM60" s="7"/>
      <c r="AN60" s="15"/>
      <c r="AO60" s="15"/>
      <c r="AP60" s="15"/>
      <c r="AQ60" s="15"/>
      <c r="AR60" s="15"/>
      <c r="AS60" s="13"/>
      <c r="AT60" s="15"/>
      <c r="BA60" s="15"/>
      <c r="BB60" s="15"/>
      <c r="BC60" s="7"/>
      <c r="BD60" s="7"/>
      <c r="BE60" s="7"/>
      <c r="BF60" s="7"/>
      <c r="BG60" s="7"/>
      <c r="BH60" s="7"/>
      <c r="BI60" s="7"/>
      <c r="BJ60" s="7"/>
      <c r="BK60" s="7"/>
      <c r="CE60" s="7"/>
      <c r="CF60" s="7"/>
      <c r="CG60" s="7"/>
      <c r="CH60" s="7"/>
      <c r="CI60" s="7"/>
      <c r="CJ60" s="7"/>
      <c r="CK60" s="7"/>
      <c r="CL60" s="7"/>
    </row>
    <row r="61" spans="2:54" ht="12" customHeight="1">
      <c r="B61" s="11"/>
      <c r="C61" s="11"/>
      <c r="D61" s="12"/>
      <c r="E61" s="37"/>
      <c r="F61" s="61" t="s">
        <v>91</v>
      </c>
      <c r="G61" s="25"/>
      <c r="H61" s="11"/>
      <c r="I61" s="11"/>
      <c r="J61" s="62" t="s">
        <v>82</v>
      </c>
      <c r="T61" s="62" t="s">
        <v>82</v>
      </c>
      <c r="AB61" s="9"/>
      <c r="AC61" s="11"/>
      <c r="AD61" s="11"/>
      <c r="AE61" s="11"/>
      <c r="AF61" s="11"/>
      <c r="AG61" s="18"/>
      <c r="AH61" s="18"/>
      <c r="AI61" s="18"/>
      <c r="AJ61" s="8"/>
      <c r="AN61" s="15"/>
      <c r="AO61" s="15"/>
      <c r="AP61" s="15"/>
      <c r="AQ61" s="15"/>
      <c r="AR61" s="15"/>
      <c r="AS61" s="15"/>
      <c r="AT61" s="15"/>
      <c r="BA61" s="15"/>
      <c r="BB61" s="15"/>
    </row>
    <row r="62" spans="28:78" ht="12" customHeight="1">
      <c r="AB62" s="9"/>
      <c r="AC62" s="11"/>
      <c r="AD62" s="11"/>
      <c r="AE62" s="11"/>
      <c r="AF62" s="11"/>
      <c r="AG62" s="18"/>
      <c r="AH62" s="18"/>
      <c r="AI62" s="18"/>
      <c r="AN62" s="15"/>
      <c r="AO62" s="15"/>
      <c r="AP62" s="15"/>
      <c r="AQ62" s="15"/>
      <c r="AR62" s="15"/>
      <c r="AS62" s="15"/>
      <c r="AT62" s="15"/>
      <c r="BA62" s="15"/>
      <c r="BB62" s="15"/>
      <c r="BZ62" s="16"/>
    </row>
    <row r="63" spans="9:87" ht="12" customHeight="1">
      <c r="I63" s="8"/>
      <c r="J63" s="8"/>
      <c r="AB63" s="9"/>
      <c r="AC63" s="11"/>
      <c r="AD63" s="11"/>
      <c r="AE63" s="11"/>
      <c r="AF63" s="11"/>
      <c r="AG63" s="18"/>
      <c r="AH63" s="18"/>
      <c r="AI63" s="18"/>
      <c r="AN63" s="11"/>
      <c r="AO63" s="11"/>
      <c r="AQ63" s="18"/>
      <c r="AR63" s="15"/>
      <c r="BA63" s="15"/>
      <c r="BB63" s="15"/>
      <c r="BH63" s="15"/>
      <c r="CI63" s="15"/>
    </row>
    <row r="64" spans="9:54" ht="12" customHeight="1">
      <c r="I64" s="8"/>
      <c r="J64" s="8"/>
      <c r="T64" s="8"/>
      <c r="BA64" s="15"/>
      <c r="BB64" s="15"/>
    </row>
    <row r="65" spans="20:54" ht="12" customHeight="1">
      <c r="T65" s="8"/>
      <c r="AM65" s="15"/>
      <c r="AQ65" s="18"/>
      <c r="AR65" s="15"/>
      <c r="BA65" s="15"/>
      <c r="BB65" s="15"/>
    </row>
    <row r="66" spans="1:44" ht="11.25">
      <c r="A66" s="8"/>
      <c r="K66" s="8"/>
      <c r="AQ66" s="18"/>
      <c r="AR66" s="15"/>
    </row>
    <row r="67" spans="43:44" ht="11.25">
      <c r="AQ67" s="18"/>
      <c r="AR67" s="16"/>
    </row>
    <row r="69" ht="11.25">
      <c r="K69" s="8"/>
    </row>
    <row r="72" spans="1:55" s="8" customFormat="1" ht="11.25">
      <c r="A72" s="7"/>
      <c r="B72" s="7"/>
      <c r="C72" s="7"/>
      <c r="D72" s="7"/>
      <c r="E72" s="9"/>
      <c r="F72" s="10"/>
      <c r="G72" s="1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AC72" s="7"/>
      <c r="AD72" s="7"/>
      <c r="AE72" s="7"/>
      <c r="AF72" s="7"/>
      <c r="AG72" s="7"/>
      <c r="AH72" s="7"/>
      <c r="AI72" s="7"/>
      <c r="AJ72" s="7"/>
      <c r="BA72" s="7"/>
      <c r="BB72" s="7"/>
      <c r="BC72" s="7"/>
    </row>
    <row r="73" spans="13:18" ht="11.25">
      <c r="M73" s="8"/>
      <c r="N73" s="8"/>
      <c r="O73" s="8"/>
      <c r="P73" s="8"/>
      <c r="Q73" s="8"/>
      <c r="R73" s="8"/>
    </row>
    <row r="74" ht="11.25">
      <c r="L74" s="8"/>
    </row>
    <row r="75" spans="1:55" s="8" customFormat="1" ht="11.25">
      <c r="A75" s="7"/>
      <c r="B75" s="7"/>
      <c r="C75" s="7"/>
      <c r="D75" s="7"/>
      <c r="E75" s="9"/>
      <c r="F75" s="10"/>
      <c r="G75" s="11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T75" s="7"/>
      <c r="U75" s="7"/>
      <c r="V75" s="7"/>
      <c r="W75" s="7"/>
      <c r="X75" s="7"/>
      <c r="Y75" s="7"/>
      <c r="Z75" s="7"/>
      <c r="AA75" s="7"/>
      <c r="AB75" s="7"/>
      <c r="BA75" s="7"/>
      <c r="BB75" s="7"/>
      <c r="BC75" s="7"/>
    </row>
    <row r="76" spans="9:18" ht="11.25">
      <c r="I76" s="8"/>
      <c r="J76" s="8"/>
      <c r="M76" s="8"/>
      <c r="N76" s="8"/>
      <c r="O76" s="8"/>
      <c r="P76" s="8"/>
      <c r="Q76" s="8"/>
      <c r="R76" s="8"/>
    </row>
    <row r="77" spans="12:20" ht="11.25">
      <c r="L77" s="8"/>
      <c r="T77" s="8"/>
    </row>
    <row r="78" spans="1:19" ht="11.25">
      <c r="A78" s="8"/>
      <c r="K78" s="8"/>
      <c r="S78" s="8"/>
    </row>
    <row r="79" spans="9:11" ht="11.25">
      <c r="I79" s="8"/>
      <c r="J79" s="8"/>
      <c r="K79" s="8"/>
    </row>
    <row r="81" spans="1:20" ht="11.25">
      <c r="A81" s="8"/>
      <c r="T81" s="9"/>
    </row>
    <row r="82" spans="11:55" ht="11.25">
      <c r="K82" s="8"/>
      <c r="BB82" s="8"/>
      <c r="BC82" s="8"/>
    </row>
    <row r="83" ht="11.25">
      <c r="K83" s="8"/>
    </row>
    <row r="84" spans="1:55" s="8" customFormat="1" ht="11.25">
      <c r="A84" s="7"/>
      <c r="B84" s="7"/>
      <c r="C84" s="7"/>
      <c r="D84" s="7"/>
      <c r="E84" s="9"/>
      <c r="F84" s="10"/>
      <c r="G84" s="11"/>
      <c r="H84" s="7"/>
      <c r="I84" s="7"/>
      <c r="J84" s="7"/>
      <c r="L84" s="7"/>
      <c r="M84" s="7"/>
      <c r="N84" s="7"/>
      <c r="O84" s="7"/>
      <c r="P84" s="7"/>
      <c r="Q84" s="7"/>
      <c r="R84" s="7"/>
      <c r="S84" s="7"/>
      <c r="T84" s="7"/>
      <c r="BA84" s="7"/>
      <c r="BB84" s="7"/>
      <c r="BC84" s="7"/>
    </row>
    <row r="85" spans="1:20" s="8" customFormat="1" ht="11.25">
      <c r="A85" s="7"/>
      <c r="B85" s="7"/>
      <c r="C85" s="7"/>
      <c r="D85" s="7"/>
      <c r="E85" s="9"/>
      <c r="F85" s="10"/>
      <c r="G85" s="11"/>
      <c r="H85" s="7"/>
      <c r="I85" s="7"/>
      <c r="J85" s="7"/>
      <c r="K85" s="7"/>
      <c r="L85" s="7"/>
      <c r="S85" s="7"/>
      <c r="T85" s="7"/>
    </row>
    <row r="86" spans="12:18" ht="11.25">
      <c r="L86" s="8"/>
      <c r="M86" s="8"/>
      <c r="N86" s="8"/>
      <c r="O86" s="8"/>
      <c r="P86" s="8"/>
      <c r="Q86" s="8"/>
      <c r="R86" s="8"/>
    </row>
    <row r="87" spans="12:19" ht="11.25">
      <c r="L87" s="8"/>
      <c r="S87" s="8"/>
    </row>
    <row r="88" spans="1:20" s="8" customFormat="1" ht="11.25">
      <c r="A88" s="7"/>
      <c r="B88" s="7"/>
      <c r="C88" s="7"/>
      <c r="D88" s="7"/>
      <c r="E88" s="9"/>
      <c r="F88" s="10"/>
      <c r="G88" s="11"/>
      <c r="H88" s="7"/>
      <c r="K88" s="7"/>
      <c r="L88" s="7"/>
      <c r="M88" s="7"/>
      <c r="N88" s="7"/>
      <c r="O88" s="7"/>
      <c r="P88" s="7"/>
      <c r="Q88" s="7"/>
      <c r="R88" s="7"/>
      <c r="T88" s="7"/>
    </row>
    <row r="89" spans="1:19" s="8" customFormat="1" ht="11.25">
      <c r="A89" s="7"/>
      <c r="B89" s="7"/>
      <c r="C89" s="7"/>
      <c r="D89" s="7"/>
      <c r="E89" s="9"/>
      <c r="F89" s="10"/>
      <c r="G89" s="11"/>
      <c r="H89" s="7"/>
      <c r="K89" s="7"/>
      <c r="L89" s="7"/>
      <c r="S89" s="7"/>
    </row>
    <row r="90" spans="2:19" s="8" customFormat="1" ht="11.25">
      <c r="B90" s="7"/>
      <c r="C90" s="7"/>
      <c r="D90" s="7"/>
      <c r="E90" s="9"/>
      <c r="F90" s="10"/>
      <c r="G90" s="11"/>
      <c r="H90" s="7"/>
      <c r="I90" s="7"/>
      <c r="J90" s="7"/>
      <c r="K90" s="7"/>
      <c r="S90" s="7"/>
    </row>
    <row r="91" spans="1:19" ht="11.25">
      <c r="A91" s="8"/>
      <c r="L91" s="8"/>
      <c r="M91" s="8"/>
      <c r="N91" s="8"/>
      <c r="O91" s="8"/>
      <c r="P91" s="8"/>
      <c r="Q91" s="8"/>
      <c r="R91" s="8"/>
      <c r="S91" s="8"/>
    </row>
    <row r="92" spans="9:19" ht="11.25">
      <c r="I92" s="8"/>
      <c r="J92" s="8"/>
      <c r="L92" s="8"/>
      <c r="S92" s="8"/>
    </row>
    <row r="93" spans="9:20" ht="11.25">
      <c r="I93" s="8"/>
      <c r="J93" s="8"/>
      <c r="S93" s="8"/>
      <c r="T93" s="8"/>
    </row>
    <row r="94" spans="1:20" ht="11.25">
      <c r="A94" s="8"/>
      <c r="I94" s="8"/>
      <c r="J94" s="8"/>
      <c r="T94" s="8"/>
    </row>
    <row r="95" spans="1:20" ht="11.25">
      <c r="A95" s="8"/>
      <c r="T95" s="8"/>
    </row>
    <row r="96" ht="11.25">
      <c r="A96" s="8"/>
    </row>
  </sheetData>
  <sheetProtection/>
  <conditionalFormatting sqref="H8">
    <cfRule type="cellIs" priority="1" dxfId="0" operator="lessThanOrEqual" stopIfTrue="1">
      <formula>10</formula>
    </cfRule>
  </conditionalFormatting>
  <printOptions/>
  <pageMargins left="0.75" right="0" top="0.625" bottom="0" header="0.25" footer="0"/>
  <pageSetup horizontalDpi="600" verticalDpi="600" orientation="portrait" r:id="rId2"/>
  <ignoredErrors>
    <ignoredError sqref="E45:E52 N39 O38 O40:O41 P39 Q38 Q40:Q42 R39:S39 Q46:Q51 O46:O51 O27:O32 Q27:Q32 R20:S20 Q19 Q21:Q23 P20 O21:O22 O19 N2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96"/>
  <sheetViews>
    <sheetView zoomScale="120" zoomScaleNormal="120" zoomScalePageLayoutView="0" workbookViewId="0" topLeftCell="A1">
      <selection activeCell="I37" sqref="I37"/>
    </sheetView>
  </sheetViews>
  <sheetFormatPr defaultColWidth="9.140625" defaultRowHeight="12.75"/>
  <cols>
    <col min="1" max="1" width="3.7109375" style="63" customWidth="1"/>
    <col min="2" max="2" width="9.7109375" style="63" customWidth="1"/>
    <col min="3" max="3" width="10.7109375" style="63" customWidth="1"/>
    <col min="4" max="4" width="9.7109375" style="63" customWidth="1"/>
    <col min="5" max="5" width="9.7109375" style="66" customWidth="1"/>
    <col min="6" max="6" width="9.7109375" style="65" customWidth="1"/>
    <col min="7" max="7" width="9.7109375" style="64" customWidth="1"/>
    <col min="8" max="9" width="9.7109375" style="63" customWidth="1"/>
    <col min="10" max="10" width="12.7109375" style="63" customWidth="1"/>
    <col min="11" max="11" width="3.7109375" style="63" customWidth="1"/>
    <col min="12" max="12" width="9.7109375" style="63" customWidth="1"/>
    <col min="13" max="13" width="10.7109375" style="63" customWidth="1"/>
    <col min="14" max="19" width="9.7109375" style="63" customWidth="1"/>
    <col min="20" max="20" width="12.7109375" style="63" customWidth="1"/>
    <col min="21" max="21" width="3.7109375" style="63" customWidth="1"/>
    <col min="22" max="23" width="9.140625" style="63" customWidth="1"/>
    <col min="24" max="24" width="10.00390625" style="63" bestFit="1" customWidth="1"/>
    <col min="25" max="25" width="10.57421875" style="63" bestFit="1" customWidth="1"/>
    <col min="26" max="27" width="9.140625" style="63" customWidth="1"/>
    <col min="28" max="28" width="11.00390625" style="63" customWidth="1"/>
    <col min="29" max="33" width="9.140625" style="63" customWidth="1"/>
    <col min="34" max="34" width="11.421875" style="63" bestFit="1" customWidth="1"/>
    <col min="35" max="42" width="9.140625" style="63" customWidth="1"/>
    <col min="43" max="43" width="11.421875" style="63" customWidth="1"/>
    <col min="44" max="44" width="9.7109375" style="63" bestFit="1" customWidth="1"/>
    <col min="45" max="51" width="9.140625" style="63" customWidth="1"/>
    <col min="52" max="52" width="11.421875" style="63" bestFit="1" customWidth="1"/>
    <col min="53" max="16384" width="9.140625" style="63" customWidth="1"/>
  </cols>
  <sheetData>
    <row r="1" spans="5:52" s="118" customFormat="1" ht="12" customHeight="1">
      <c r="E1" s="122"/>
      <c r="F1" s="106"/>
      <c r="G1" s="121"/>
      <c r="I1" s="118" t="s">
        <v>6</v>
      </c>
      <c r="J1" s="118" t="s">
        <v>80</v>
      </c>
      <c r="O1" s="122"/>
      <c r="P1" s="106"/>
      <c r="Q1" s="121"/>
      <c r="S1" s="118" t="s">
        <v>6</v>
      </c>
      <c r="T1" s="118" t="str">
        <f>J1</f>
        <v>2015-002</v>
      </c>
      <c r="Y1" s="120"/>
      <c r="AC1" s="118" t="s">
        <v>6</v>
      </c>
      <c r="AD1" s="118" t="str">
        <f>T1</f>
        <v>2015-002</v>
      </c>
      <c r="AH1" s="119"/>
      <c r="AQ1" s="119"/>
      <c r="AZ1" s="119"/>
    </row>
    <row r="2" spans="2:18" ht="12.75" customHeight="1">
      <c r="B2" s="67" t="s">
        <v>9</v>
      </c>
      <c r="C2" s="63" t="s">
        <v>29</v>
      </c>
      <c r="L2" s="67" t="s">
        <v>53</v>
      </c>
      <c r="M2" s="67"/>
      <c r="N2" s="67"/>
      <c r="O2" s="107"/>
      <c r="P2" s="106"/>
      <c r="Q2" s="97"/>
      <c r="R2" s="98" t="s">
        <v>32</v>
      </c>
    </row>
    <row r="3" spans="2:29" ht="12.75" customHeight="1">
      <c r="B3" s="63" t="s">
        <v>13</v>
      </c>
      <c r="G3" s="75" t="s">
        <v>30</v>
      </c>
      <c r="L3" s="91" t="s">
        <v>34</v>
      </c>
      <c r="M3" s="103" t="s">
        <v>65</v>
      </c>
      <c r="N3" s="91" t="s">
        <v>64</v>
      </c>
      <c r="O3" s="91" t="s">
        <v>35</v>
      </c>
      <c r="P3" s="90" t="s">
        <v>36</v>
      </c>
      <c r="Q3" s="92"/>
      <c r="V3" s="94" t="s">
        <v>54</v>
      </c>
      <c r="W3" s="87"/>
      <c r="X3" s="99" t="s">
        <v>83</v>
      </c>
      <c r="Y3" s="86"/>
      <c r="Z3" s="86"/>
      <c r="AA3" s="86"/>
      <c r="AB3" s="71"/>
      <c r="AC3" s="71"/>
    </row>
    <row r="4" spans="2:29" ht="12" customHeight="1">
      <c r="B4" s="63" t="s">
        <v>10</v>
      </c>
      <c r="F4" s="117">
        <v>155</v>
      </c>
      <c r="G4" s="64" t="s">
        <v>0</v>
      </c>
      <c r="L4" s="87" t="s">
        <v>52</v>
      </c>
      <c r="M4" s="102">
        <v>28</v>
      </c>
      <c r="N4" s="102">
        <v>2</v>
      </c>
      <c r="O4" s="86">
        <f>M4*N4</f>
        <v>56</v>
      </c>
      <c r="P4" s="86">
        <f>IF(O4&gt;Q4,O4,Q4)</f>
        <v>261.3333333333333</v>
      </c>
      <c r="Q4" s="92">
        <f>M4*M4/3</f>
        <v>261.3333333333333</v>
      </c>
      <c r="V4" s="91" t="s">
        <v>34</v>
      </c>
      <c r="W4" s="91" t="s">
        <v>36</v>
      </c>
      <c r="X4" s="90" t="s">
        <v>88</v>
      </c>
      <c r="Y4" s="90" t="s">
        <v>87</v>
      </c>
      <c r="Z4" s="90" t="s">
        <v>86</v>
      </c>
      <c r="AA4" s="90" t="s">
        <v>85</v>
      </c>
      <c r="AB4" s="100"/>
      <c r="AC4" s="100"/>
    </row>
    <row r="5" spans="2:29" ht="12" customHeight="1">
      <c r="B5" s="63" t="s">
        <v>11</v>
      </c>
      <c r="E5" s="66" t="s">
        <v>21</v>
      </c>
      <c r="F5" s="117">
        <v>1</v>
      </c>
      <c r="H5" s="76" t="s">
        <v>12</v>
      </c>
      <c r="L5" s="87" t="s">
        <v>77</v>
      </c>
      <c r="M5" s="102">
        <v>8</v>
      </c>
      <c r="N5" s="102">
        <v>4</v>
      </c>
      <c r="O5" s="86">
        <v>32</v>
      </c>
      <c r="P5" s="86">
        <v>32</v>
      </c>
      <c r="Q5" s="92"/>
      <c r="V5" s="87" t="s">
        <v>52</v>
      </c>
      <c r="W5" s="86">
        <f aca="true" t="shared" si="0" ref="W5:W10">P4</f>
        <v>261.3333333333333</v>
      </c>
      <c r="X5" s="86">
        <v>0.2</v>
      </c>
      <c r="Y5" s="86">
        <v>-1.5</v>
      </c>
      <c r="Z5" s="86">
        <v>0.2</v>
      </c>
      <c r="AA5" s="86">
        <v>-1.6</v>
      </c>
      <c r="AB5" s="95"/>
      <c r="AC5" s="95"/>
    </row>
    <row r="6" spans="2:29" ht="12" customHeight="1">
      <c r="B6" s="63" t="s">
        <v>14</v>
      </c>
      <c r="E6" s="66" t="s">
        <v>22</v>
      </c>
      <c r="F6" s="117">
        <v>0.85</v>
      </c>
      <c r="H6" s="76" t="s">
        <v>15</v>
      </c>
      <c r="L6" s="87" t="s">
        <v>38</v>
      </c>
      <c r="M6" s="87" t="s">
        <v>62</v>
      </c>
      <c r="N6" s="87" t="s">
        <v>62</v>
      </c>
      <c r="O6" s="87" t="s">
        <v>62</v>
      </c>
      <c r="P6" s="86">
        <v>10</v>
      </c>
      <c r="Q6" s="86"/>
      <c r="R6" s="64"/>
      <c r="V6" s="87" t="s">
        <v>77</v>
      </c>
      <c r="W6" s="86">
        <f t="shared" si="0"/>
        <v>32</v>
      </c>
      <c r="X6" s="86">
        <f>0.4-0.1*LOG(W6)</f>
        <v>0.2494850021680094</v>
      </c>
      <c r="Y6" s="86">
        <f>-1.7+0.1*LOG(W6)</f>
        <v>-1.5494850021680093</v>
      </c>
      <c r="Z6" s="86">
        <f>0.4-0.1*LOG(W6)</f>
        <v>0.2494850021680094</v>
      </c>
      <c r="AA6" s="86">
        <f>-3.6+1*LOG(W6)</f>
        <v>-2.0948500216800943</v>
      </c>
      <c r="AB6" s="100"/>
      <c r="AC6" s="100"/>
    </row>
    <row r="7" spans="2:29" ht="12" customHeight="1">
      <c r="B7" s="63" t="s">
        <v>19</v>
      </c>
      <c r="E7" s="66" t="s">
        <v>23</v>
      </c>
      <c r="F7" s="117">
        <v>0.18</v>
      </c>
      <c r="G7" s="116">
        <v>-0.18</v>
      </c>
      <c r="H7" s="76" t="s">
        <v>18</v>
      </c>
      <c r="L7" s="87" t="s">
        <v>39</v>
      </c>
      <c r="M7" s="87" t="s">
        <v>62</v>
      </c>
      <c r="N7" s="87" t="s">
        <v>62</v>
      </c>
      <c r="O7" s="87" t="s">
        <v>62</v>
      </c>
      <c r="P7" s="100">
        <v>20</v>
      </c>
      <c r="Q7" s="100"/>
      <c r="R7" s="78"/>
      <c r="S7" s="78"/>
      <c r="V7" s="87" t="s">
        <v>38</v>
      </c>
      <c r="W7" s="86">
        <f t="shared" si="0"/>
        <v>10</v>
      </c>
      <c r="X7" s="86">
        <v>0.3</v>
      </c>
      <c r="Y7" s="86">
        <v>-1.6</v>
      </c>
      <c r="Z7" s="86">
        <v>0.3</v>
      </c>
      <c r="AA7" s="86">
        <v>-2.6</v>
      </c>
      <c r="AB7" s="100"/>
      <c r="AC7" s="95"/>
    </row>
    <row r="8" spans="2:29" ht="12" customHeight="1">
      <c r="B8" s="63" t="s">
        <v>7</v>
      </c>
      <c r="E8" s="63"/>
      <c r="F8" s="115">
        <v>4</v>
      </c>
      <c r="G8" s="63" t="s">
        <v>8</v>
      </c>
      <c r="H8" s="65">
        <f>DEGREES(ATAN(F8/12))</f>
        <v>18.43494882292201</v>
      </c>
      <c r="I8" s="63" t="s">
        <v>20</v>
      </c>
      <c r="L8" s="87" t="s">
        <v>40</v>
      </c>
      <c r="M8" s="87" t="s">
        <v>62</v>
      </c>
      <c r="N8" s="87" t="s">
        <v>62</v>
      </c>
      <c r="O8" s="87" t="s">
        <v>62</v>
      </c>
      <c r="P8" s="86">
        <v>50</v>
      </c>
      <c r="Q8" s="86"/>
      <c r="R8" s="71"/>
      <c r="S8" s="71"/>
      <c r="V8" s="87" t="s">
        <v>39</v>
      </c>
      <c r="W8" s="86">
        <f t="shared" si="0"/>
        <v>20</v>
      </c>
      <c r="X8" s="86">
        <f>0.4-0.1*LOG(W8)</f>
        <v>0.2698970004336019</v>
      </c>
      <c r="Y8" s="86">
        <f>-1.7+0.1*LOG(W8)</f>
        <v>-1.569897000433602</v>
      </c>
      <c r="Z8" s="86">
        <f>0.4-0.1*LOG(W8)</f>
        <v>0.2698970004336019</v>
      </c>
      <c r="AA8" s="86">
        <f>-3.6+1*LOG(W8)</f>
        <v>-2.298970004336019</v>
      </c>
      <c r="AB8" s="100"/>
      <c r="AC8" s="100"/>
    </row>
    <row r="9" spans="2:30" s="67" customFormat="1" ht="12" customHeight="1">
      <c r="B9" s="63" t="s">
        <v>1</v>
      </c>
      <c r="C9" s="63"/>
      <c r="D9" s="63"/>
      <c r="E9" s="63"/>
      <c r="F9" s="114">
        <v>13</v>
      </c>
      <c r="G9" s="63" t="s">
        <v>3</v>
      </c>
      <c r="K9" s="63"/>
      <c r="L9" s="87" t="s">
        <v>51</v>
      </c>
      <c r="M9" s="87" t="s">
        <v>62</v>
      </c>
      <c r="N9" s="87" t="s">
        <v>62</v>
      </c>
      <c r="O9" s="87" t="s">
        <v>62</v>
      </c>
      <c r="P9" s="86">
        <v>100</v>
      </c>
      <c r="Q9" s="86"/>
      <c r="R9" s="71"/>
      <c r="S9" s="71"/>
      <c r="T9" s="63"/>
      <c r="U9" s="63"/>
      <c r="V9" s="87" t="s">
        <v>40</v>
      </c>
      <c r="W9" s="86">
        <f t="shared" si="0"/>
        <v>50</v>
      </c>
      <c r="X9" s="86">
        <f>0.4-0.1*LOG(W9)</f>
        <v>0.23010299956639813</v>
      </c>
      <c r="Y9" s="86">
        <f>-1.7+0.1*LOG(W9)</f>
        <v>-1.530102999566398</v>
      </c>
      <c r="Z9" s="86">
        <f>0.4-0.1*LOG(W9)</f>
        <v>0.23010299956639813</v>
      </c>
      <c r="AA9" s="86">
        <f>-3.6+1*LOG(W9)</f>
        <v>-1.9010299956639813</v>
      </c>
      <c r="AB9" s="100"/>
      <c r="AC9" s="100"/>
      <c r="AD9" s="63"/>
    </row>
    <row r="10" spans="2:87" ht="12" customHeight="1">
      <c r="B10" s="63" t="s">
        <v>2</v>
      </c>
      <c r="E10" s="63"/>
      <c r="F10" s="114">
        <v>19</v>
      </c>
      <c r="G10" s="63" t="s">
        <v>3</v>
      </c>
      <c r="H10" s="113" t="s">
        <v>27</v>
      </c>
      <c r="I10" s="63">
        <f>IF(F12="C",9.5,IF(F12="B",7,IF(F12="D",11.5,"Undefined")))</f>
        <v>9.5</v>
      </c>
      <c r="L10" s="87"/>
      <c r="M10" s="87"/>
      <c r="N10" s="87"/>
      <c r="O10" s="87"/>
      <c r="P10" s="86"/>
      <c r="Q10" s="86"/>
      <c r="R10" s="71"/>
      <c r="S10" s="71"/>
      <c r="T10" s="67"/>
      <c r="U10" s="67"/>
      <c r="V10" s="87" t="s">
        <v>51</v>
      </c>
      <c r="W10" s="86">
        <f t="shared" si="0"/>
        <v>100</v>
      </c>
      <c r="X10" s="86">
        <v>0.2</v>
      </c>
      <c r="Y10" s="86">
        <v>-1.5</v>
      </c>
      <c r="Z10" s="86">
        <v>0.2</v>
      </c>
      <c r="AA10" s="86">
        <v>-1.6</v>
      </c>
      <c r="AB10" s="95"/>
      <c r="AC10" s="95"/>
      <c r="AK10" s="64"/>
      <c r="AM10" s="67"/>
      <c r="AO10" s="67"/>
      <c r="AP10" s="67"/>
      <c r="AQ10" s="67"/>
      <c r="BQ10" s="70"/>
      <c r="BZ10" s="70"/>
      <c r="CI10" s="70"/>
    </row>
    <row r="11" spans="2:87" ht="12" customHeight="1">
      <c r="B11" s="63" t="s">
        <v>4</v>
      </c>
      <c r="E11" s="63"/>
      <c r="F11" s="74">
        <f>IF(H8&gt;10,(F9+F10)/2,F9)</f>
        <v>16</v>
      </c>
      <c r="G11" s="63" t="s">
        <v>3</v>
      </c>
      <c r="H11" s="63" t="s">
        <v>28</v>
      </c>
      <c r="I11" s="63">
        <f>IF(F12="C",900,IF(F12="B",1200,IF(F12="D",700,"Undefined")))</f>
        <v>900</v>
      </c>
      <c r="L11" s="87"/>
      <c r="M11" s="87"/>
      <c r="N11" s="87"/>
      <c r="O11" s="87"/>
      <c r="P11" s="86"/>
      <c r="Q11" s="86"/>
      <c r="R11" s="71"/>
      <c r="S11" s="71"/>
      <c r="T11" s="67"/>
      <c r="V11" s="87"/>
      <c r="W11" s="87"/>
      <c r="X11" s="87"/>
      <c r="Y11" s="86"/>
      <c r="Z11" s="86"/>
      <c r="AA11" s="92"/>
      <c r="AB11" s="64"/>
      <c r="AC11" s="71"/>
      <c r="AJ11" s="64"/>
      <c r="AK11" s="64"/>
      <c r="BG11" s="68"/>
      <c r="BI11" s="68"/>
      <c r="BQ11" s="70"/>
      <c r="CI11" s="70"/>
    </row>
    <row r="12" spans="2:87" ht="12" customHeight="1">
      <c r="B12" s="63" t="s">
        <v>5</v>
      </c>
      <c r="E12" s="63"/>
      <c r="F12" s="112" t="s">
        <v>78</v>
      </c>
      <c r="G12" s="63"/>
      <c r="L12" s="87"/>
      <c r="M12" s="87"/>
      <c r="N12" s="87"/>
      <c r="O12" s="87"/>
      <c r="P12" s="86"/>
      <c r="Q12" s="86"/>
      <c r="R12" s="71"/>
      <c r="S12" s="71"/>
      <c r="T12" s="67"/>
      <c r="V12" s="94" t="s">
        <v>55</v>
      </c>
      <c r="W12" s="87"/>
      <c r="X12" s="99" t="s">
        <v>83</v>
      </c>
      <c r="Y12" s="87"/>
      <c r="Z12" s="86"/>
      <c r="AA12" s="87" t="s">
        <v>76</v>
      </c>
      <c r="AB12" s="64"/>
      <c r="AC12" s="71"/>
      <c r="AD12" s="89"/>
      <c r="AE12" s="64"/>
      <c r="AF12" s="64"/>
      <c r="AG12" s="64"/>
      <c r="AH12" s="64"/>
      <c r="AI12" s="64"/>
      <c r="AK12" s="64"/>
      <c r="AN12" s="64"/>
      <c r="AO12" s="64"/>
      <c r="AQ12" s="69"/>
      <c r="AR12" s="70"/>
      <c r="BG12" s="68"/>
      <c r="BQ12" s="83"/>
      <c r="BS12" s="70"/>
      <c r="BX12" s="105"/>
      <c r="BZ12" s="64"/>
      <c r="CA12" s="70"/>
      <c r="CB12" s="70"/>
      <c r="CC12" s="70"/>
      <c r="CD12" s="104"/>
      <c r="CI12" s="70"/>
    </row>
    <row r="13" spans="12:87" ht="12" customHeight="1">
      <c r="L13" s="76" t="s">
        <v>89</v>
      </c>
      <c r="M13" s="87"/>
      <c r="N13" s="87"/>
      <c r="O13" s="87"/>
      <c r="P13" s="86"/>
      <c r="Q13" s="86"/>
      <c r="R13" s="71"/>
      <c r="S13" s="71"/>
      <c r="T13" s="67"/>
      <c r="V13" s="91" t="s">
        <v>34</v>
      </c>
      <c r="W13" s="91" t="s">
        <v>36</v>
      </c>
      <c r="X13" s="90" t="s">
        <v>88</v>
      </c>
      <c r="Y13" s="90" t="s">
        <v>87</v>
      </c>
      <c r="Z13" s="90" t="s">
        <v>86</v>
      </c>
      <c r="AA13" s="90" t="s">
        <v>85</v>
      </c>
      <c r="AB13" s="100"/>
      <c r="AC13" s="100"/>
      <c r="AD13" s="89"/>
      <c r="AE13" s="64"/>
      <c r="AF13" s="64"/>
      <c r="AG13" s="69"/>
      <c r="AH13" s="69"/>
      <c r="AI13" s="69"/>
      <c r="AN13" s="64"/>
      <c r="AO13" s="64"/>
      <c r="AQ13" s="69"/>
      <c r="AR13" s="70"/>
      <c r="BG13" s="68"/>
      <c r="BQ13" s="83"/>
      <c r="CA13" s="70"/>
      <c r="CB13" s="70"/>
      <c r="CC13" s="70"/>
      <c r="CD13" s="104"/>
      <c r="CI13" s="70"/>
    </row>
    <row r="14" spans="2:87" ht="12" customHeight="1">
      <c r="B14" s="67" t="s">
        <v>31</v>
      </c>
      <c r="C14" s="67"/>
      <c r="D14" s="67"/>
      <c r="E14" s="107"/>
      <c r="F14" s="106"/>
      <c r="G14" s="97"/>
      <c r="H14" s="98" t="s">
        <v>26</v>
      </c>
      <c r="L14" s="76" t="s">
        <v>84</v>
      </c>
      <c r="M14" s="87"/>
      <c r="N14" s="87"/>
      <c r="O14" s="87"/>
      <c r="P14" s="86"/>
      <c r="Q14" s="86"/>
      <c r="R14" s="71"/>
      <c r="S14" s="71"/>
      <c r="T14" s="67"/>
      <c r="V14" s="87" t="s">
        <v>52</v>
      </c>
      <c r="W14" s="86">
        <f aca="true" t="shared" si="1" ref="W14:W19">P4</f>
        <v>261.3333333333333</v>
      </c>
      <c r="X14" s="88">
        <f aca="true" t="shared" si="2" ref="X14:X19">$F$16*(X5+$F$7)</f>
        <v>17.094448479619462</v>
      </c>
      <c r="Y14" s="88">
        <f aca="true" t="shared" si="3" ref="Y14:Y19">$F$16*(Y5+$G$7)</f>
        <v>-75.57545643621235</v>
      </c>
      <c r="Z14" s="88">
        <f aca="true" t="shared" si="4" ref="Z14:Z19">$F$16*(Z5+$F$7)</f>
        <v>17.094448479619462</v>
      </c>
      <c r="AA14" s="88">
        <f aca="true" t="shared" si="5" ref="AA14:AA19">$F$16*(AA5+$G$7)</f>
        <v>-80.07399550979643</v>
      </c>
      <c r="AB14" s="111"/>
      <c r="AC14" s="111"/>
      <c r="AD14" s="89"/>
      <c r="AE14" s="64"/>
      <c r="AF14" s="64"/>
      <c r="AG14" s="69"/>
      <c r="AH14" s="69"/>
      <c r="AI14" s="69"/>
      <c r="AN14" s="64"/>
      <c r="AO14" s="64"/>
      <c r="AQ14" s="69"/>
      <c r="AR14" s="70"/>
      <c r="AY14" s="69"/>
      <c r="BG14" s="68"/>
      <c r="BQ14" s="70"/>
      <c r="BS14" s="70"/>
      <c r="BX14" s="105"/>
      <c r="BZ14" s="64"/>
      <c r="CA14" s="70"/>
      <c r="CB14" s="70"/>
      <c r="CC14" s="70"/>
      <c r="CD14" s="104"/>
      <c r="CI14" s="70"/>
    </row>
    <row r="15" spans="2:89" ht="12" customHeight="1">
      <c r="B15" s="63" t="s">
        <v>16</v>
      </c>
      <c r="E15" s="63" t="s">
        <v>24</v>
      </c>
      <c r="F15" s="63" t="s">
        <v>25</v>
      </c>
      <c r="G15" s="66"/>
      <c r="H15" s="65"/>
      <c r="I15" s="64"/>
      <c r="J15" s="64"/>
      <c r="L15" s="87"/>
      <c r="M15" s="87"/>
      <c r="N15" s="86"/>
      <c r="O15" s="86"/>
      <c r="P15" s="86"/>
      <c r="Q15" s="86"/>
      <c r="R15" s="71"/>
      <c r="S15" s="71"/>
      <c r="V15" s="87" t="s">
        <v>77</v>
      </c>
      <c r="W15" s="86">
        <f t="shared" si="1"/>
        <v>32</v>
      </c>
      <c r="X15" s="88">
        <f t="shared" si="2"/>
        <v>19.32055063771129</v>
      </c>
      <c r="Y15" s="88">
        <f t="shared" si="3"/>
        <v>-77.80155859430418</v>
      </c>
      <c r="Z15" s="88">
        <f t="shared" si="4"/>
        <v>19.32055063771129</v>
      </c>
      <c r="AA15" s="88">
        <f t="shared" si="5"/>
        <v>-102.33501709071471</v>
      </c>
      <c r="AB15" s="111"/>
      <c r="AC15" s="111"/>
      <c r="AD15" s="89"/>
      <c r="AE15" s="64"/>
      <c r="AF15" s="64"/>
      <c r="AG15" s="64"/>
      <c r="AH15" s="64"/>
      <c r="AI15" s="69"/>
      <c r="AJ15" s="69"/>
      <c r="AK15" s="69"/>
      <c r="AP15" s="64"/>
      <c r="AQ15" s="64"/>
      <c r="AS15" s="69"/>
      <c r="AT15" s="70"/>
      <c r="BA15" s="69"/>
      <c r="BI15" s="68"/>
      <c r="BS15" s="70"/>
      <c r="BU15" s="70"/>
      <c r="BZ15" s="105"/>
      <c r="CB15" s="64"/>
      <c r="CC15" s="70"/>
      <c r="CD15" s="70"/>
      <c r="CE15" s="70"/>
      <c r="CF15" s="104"/>
      <c r="CK15" s="70"/>
    </row>
    <row r="16" spans="2:89" ht="12" customHeight="1">
      <c r="B16" s="63" t="s">
        <v>17</v>
      </c>
      <c r="C16" s="110">
        <f>F11</f>
        <v>16</v>
      </c>
      <c r="D16" s="63" t="s">
        <v>3</v>
      </c>
      <c r="E16" s="109">
        <f>IF(F12="B",IF(C16&lt;30,2.01*(30/$I$11)^(2/$I$10),2.01*(C16/$I$11)^(2/$I$10)),IF(C16&lt;15,2.01*(15/$I$11)^(2/$I$10),2.01*(C16/$I$11)^(2/$I$10)))</f>
        <v>0.8604967010436564</v>
      </c>
      <c r="F16" s="108">
        <f>0.00256*E16*$F$5*$F$6*$F$4*$F$4</f>
        <v>44.98539073584069</v>
      </c>
      <c r="G16" s="96">
        <f>IF(H8&gt;10,"","(h = he for θ ≤ 10 degrees)")</f>
      </c>
      <c r="H16" s="65"/>
      <c r="I16" s="64"/>
      <c r="J16" s="64"/>
      <c r="L16" s="94" t="s">
        <v>54</v>
      </c>
      <c r="M16" s="87"/>
      <c r="N16" s="99" t="s">
        <v>83</v>
      </c>
      <c r="O16" s="86"/>
      <c r="P16" s="86"/>
      <c r="Q16" s="86"/>
      <c r="R16" s="71"/>
      <c r="S16" s="71"/>
      <c r="V16" s="87" t="s">
        <v>38</v>
      </c>
      <c r="W16" s="86">
        <f t="shared" si="1"/>
        <v>10</v>
      </c>
      <c r="X16" s="86">
        <f t="shared" si="2"/>
        <v>21.59298755320353</v>
      </c>
      <c r="Y16" s="86">
        <f t="shared" si="3"/>
        <v>-80.07399550979643</v>
      </c>
      <c r="Z16" s="86">
        <f t="shared" si="4"/>
        <v>21.59298755320353</v>
      </c>
      <c r="AA16" s="86">
        <f t="shared" si="5"/>
        <v>-125.05938624563713</v>
      </c>
      <c r="AB16" s="100"/>
      <c r="AC16" s="100"/>
      <c r="AD16" s="89"/>
      <c r="AE16" s="64"/>
      <c r="AF16" s="64"/>
      <c r="AG16" s="64"/>
      <c r="AH16" s="64"/>
      <c r="AI16" s="69"/>
      <c r="AJ16" s="69"/>
      <c r="AK16" s="69"/>
      <c r="AP16" s="64"/>
      <c r="AQ16" s="64"/>
      <c r="AS16" s="69"/>
      <c r="AT16" s="70"/>
      <c r="BA16" s="69"/>
      <c r="BI16" s="68"/>
      <c r="BS16" s="70"/>
      <c r="BU16" s="70"/>
      <c r="BZ16" s="105"/>
      <c r="CB16" s="64"/>
      <c r="CC16" s="70"/>
      <c r="CD16" s="70"/>
      <c r="CE16" s="70"/>
      <c r="CF16" s="104"/>
      <c r="CK16" s="70"/>
    </row>
    <row r="17" spans="12:87" ht="12" customHeight="1">
      <c r="L17" s="91" t="s">
        <v>34</v>
      </c>
      <c r="M17" s="91" t="s">
        <v>36</v>
      </c>
      <c r="N17" s="90" t="s">
        <v>56</v>
      </c>
      <c r="O17" s="90" t="s">
        <v>57</v>
      </c>
      <c r="P17" s="90" t="s">
        <v>58</v>
      </c>
      <c r="Q17" s="90" t="s">
        <v>59</v>
      </c>
      <c r="R17" s="90" t="s">
        <v>60</v>
      </c>
      <c r="S17" s="90" t="s">
        <v>61</v>
      </c>
      <c r="V17" s="87" t="s">
        <v>39</v>
      </c>
      <c r="W17" s="86">
        <f t="shared" si="1"/>
        <v>20</v>
      </c>
      <c r="X17" s="86">
        <f t="shared" si="2"/>
        <v>20.238792355388266</v>
      </c>
      <c r="Y17" s="86">
        <f t="shared" si="3"/>
        <v>-78.71980031198116</v>
      </c>
      <c r="Z17" s="86">
        <f t="shared" si="4"/>
        <v>20.238792355388266</v>
      </c>
      <c r="AA17" s="86">
        <f t="shared" si="5"/>
        <v>-111.5174342674845</v>
      </c>
      <c r="AB17" s="100"/>
      <c r="AC17" s="100"/>
      <c r="AD17" s="89"/>
      <c r="AE17" s="64"/>
      <c r="AF17" s="64"/>
      <c r="AG17" s="69"/>
      <c r="AH17" s="69"/>
      <c r="AI17" s="69"/>
      <c r="AN17" s="64"/>
      <c r="AO17" s="64"/>
      <c r="AQ17" s="69"/>
      <c r="AR17" s="70"/>
      <c r="AY17" s="69"/>
      <c r="BG17" s="68"/>
      <c r="BQ17" s="70"/>
      <c r="BS17" s="70"/>
      <c r="BX17" s="105"/>
      <c r="BZ17" s="64"/>
      <c r="CA17" s="70"/>
      <c r="CB17" s="70"/>
      <c r="CC17" s="70"/>
      <c r="CD17" s="104"/>
      <c r="CI17" s="70"/>
    </row>
    <row r="18" spans="2:87" ht="12" customHeight="1">
      <c r="B18" s="67" t="s">
        <v>33</v>
      </c>
      <c r="C18" s="67"/>
      <c r="D18" s="67"/>
      <c r="E18" s="107"/>
      <c r="F18" s="106"/>
      <c r="G18" s="97"/>
      <c r="H18" s="98" t="s">
        <v>32</v>
      </c>
      <c r="L18" s="87" t="s">
        <v>52</v>
      </c>
      <c r="M18" s="86">
        <f aca="true" t="shared" si="6" ref="M18:M23">P4</f>
        <v>261.3333333333333</v>
      </c>
      <c r="N18" s="86">
        <v>0.2</v>
      </c>
      <c r="O18" s="86">
        <v>-1.1</v>
      </c>
      <c r="P18" s="86">
        <v>0.2</v>
      </c>
      <c r="Q18" s="86">
        <v>-1.2</v>
      </c>
      <c r="R18" s="95">
        <v>0.2</v>
      </c>
      <c r="S18" s="95">
        <v>-1.2</v>
      </c>
      <c r="V18" s="87" t="s">
        <v>40</v>
      </c>
      <c r="W18" s="86">
        <f t="shared" si="1"/>
        <v>50</v>
      </c>
      <c r="X18" s="86">
        <f t="shared" si="2"/>
        <v>18.448643677434724</v>
      </c>
      <c r="Y18" s="86">
        <f t="shared" si="3"/>
        <v>-76.9296516340276</v>
      </c>
      <c r="Z18" s="86">
        <f t="shared" si="4"/>
        <v>18.448643677434724</v>
      </c>
      <c r="AA18" s="86">
        <f t="shared" si="5"/>
        <v>-93.61594748794906</v>
      </c>
      <c r="AB18" s="100"/>
      <c r="AC18" s="100"/>
      <c r="AD18" s="89"/>
      <c r="AE18" s="64"/>
      <c r="AF18" s="64"/>
      <c r="AG18" s="69"/>
      <c r="AH18" s="69"/>
      <c r="AI18" s="69"/>
      <c r="AQ18" s="69"/>
      <c r="AR18" s="70"/>
      <c r="AY18" s="69"/>
      <c r="BS18" s="70"/>
      <c r="BX18" s="105"/>
      <c r="BZ18" s="64"/>
      <c r="CA18" s="70"/>
      <c r="CB18" s="70"/>
      <c r="CC18" s="70"/>
      <c r="CD18" s="104"/>
      <c r="CI18" s="70"/>
    </row>
    <row r="19" spans="2:87" ht="12" customHeight="1">
      <c r="B19" s="91" t="s">
        <v>34</v>
      </c>
      <c r="C19" s="103" t="s">
        <v>65</v>
      </c>
      <c r="D19" s="91" t="s">
        <v>64</v>
      </c>
      <c r="E19" s="91" t="s">
        <v>35</v>
      </c>
      <c r="F19" s="90" t="s">
        <v>36</v>
      </c>
      <c r="G19" s="92"/>
      <c r="L19" s="87" t="s">
        <v>77</v>
      </c>
      <c r="M19" s="86">
        <f t="shared" si="6"/>
        <v>32</v>
      </c>
      <c r="N19" s="86">
        <f>0.4-0.1*LOG($M19)</f>
        <v>0.2494850021680094</v>
      </c>
      <c r="O19" s="86">
        <v>-1.1</v>
      </c>
      <c r="P19" s="86">
        <f>0.4-0.1*LOG($M19)</f>
        <v>0.2494850021680094</v>
      </c>
      <c r="Q19" s="86">
        <f>-1.4+0.1*LOG($M19)</f>
        <v>-1.2494850021680093</v>
      </c>
      <c r="R19" s="86">
        <f>0.4-0.1*LOG($M19)</f>
        <v>0.2494850021680094</v>
      </c>
      <c r="S19" s="86">
        <f>-2.4+0.6*LOG($M19)</f>
        <v>-1.4969100130080564</v>
      </c>
      <c r="V19" s="87" t="s">
        <v>41</v>
      </c>
      <c r="W19" s="86">
        <f t="shared" si="1"/>
        <v>100</v>
      </c>
      <c r="X19" s="86">
        <f t="shared" si="2"/>
        <v>17.094448479619462</v>
      </c>
      <c r="Y19" s="86">
        <f t="shared" si="3"/>
        <v>-75.57545643621235</v>
      </c>
      <c r="Z19" s="86">
        <f t="shared" si="4"/>
        <v>17.094448479619462</v>
      </c>
      <c r="AA19" s="86">
        <f t="shared" si="5"/>
        <v>-80.07399550979643</v>
      </c>
      <c r="AB19" s="100"/>
      <c r="AC19" s="100"/>
      <c r="AD19" s="89"/>
      <c r="AE19" s="64"/>
      <c r="AF19" s="64"/>
      <c r="AG19" s="69"/>
      <c r="AH19" s="69"/>
      <c r="AI19" s="69"/>
      <c r="AQ19" s="69"/>
      <c r="AR19" s="70"/>
      <c r="AY19" s="68"/>
      <c r="BH19" s="70"/>
      <c r="BR19" s="69"/>
      <c r="BS19" s="70"/>
      <c r="BX19" s="70"/>
      <c r="CA19" s="70"/>
      <c r="CI19" s="83"/>
    </row>
    <row r="20" spans="2:87" ht="12" customHeight="1">
      <c r="B20" s="87" t="s">
        <v>37</v>
      </c>
      <c r="C20" s="102">
        <v>13.625</v>
      </c>
      <c r="D20" s="101">
        <v>1.333</v>
      </c>
      <c r="E20" s="86">
        <f>C20*D20</f>
        <v>18.162125</v>
      </c>
      <c r="F20" s="86">
        <f>IF(E20&gt;G20,E20,G20)</f>
        <v>61.880208333333336</v>
      </c>
      <c r="G20" s="92">
        <f>C20*C20/3</f>
        <v>61.880208333333336</v>
      </c>
      <c r="L20" s="87" t="s">
        <v>38</v>
      </c>
      <c r="M20" s="86">
        <f t="shared" si="6"/>
        <v>10</v>
      </c>
      <c r="N20" s="86">
        <v>0.3</v>
      </c>
      <c r="O20" s="86">
        <v>-1.1</v>
      </c>
      <c r="P20" s="86">
        <v>0.3</v>
      </c>
      <c r="Q20" s="86">
        <v>-1.3</v>
      </c>
      <c r="R20" s="86">
        <v>0.3</v>
      </c>
      <c r="S20" s="95">
        <v>-1.8</v>
      </c>
      <c r="AB20" s="66"/>
      <c r="AC20" s="64"/>
      <c r="AD20" s="64"/>
      <c r="AE20" s="64"/>
      <c r="AF20" s="64"/>
      <c r="AG20" s="69"/>
      <c r="AH20" s="69"/>
      <c r="AI20" s="69"/>
      <c r="AQ20" s="69"/>
      <c r="AR20" s="70"/>
      <c r="AY20" s="68"/>
      <c r="BH20" s="70"/>
      <c r="BR20" s="69"/>
      <c r="BS20" s="70"/>
      <c r="BX20" s="70"/>
      <c r="CA20" s="70"/>
      <c r="CI20" s="83"/>
    </row>
    <row r="21" spans="2:88" ht="12" customHeight="1">
      <c r="B21" s="40" t="s">
        <v>77</v>
      </c>
      <c r="C21" s="102">
        <v>8</v>
      </c>
      <c r="D21" s="123">
        <v>4</v>
      </c>
      <c r="E21" s="86">
        <f>C21*D21</f>
        <v>32</v>
      </c>
      <c r="F21" s="86">
        <f>IF(E21&gt;G21,E21,G21)</f>
        <v>32</v>
      </c>
      <c r="G21" s="92">
        <f>C21*C21/3</f>
        <v>21.333333333333332</v>
      </c>
      <c r="H21" s="64"/>
      <c r="L21" s="87" t="s">
        <v>39</v>
      </c>
      <c r="M21" s="86">
        <f t="shared" si="6"/>
        <v>20</v>
      </c>
      <c r="N21" s="86">
        <f>0.4-0.1*LOG($M21)</f>
        <v>0.2698970004336019</v>
      </c>
      <c r="O21" s="86">
        <v>-1.1</v>
      </c>
      <c r="P21" s="86">
        <f>0.4-0.1*LOG($M21)</f>
        <v>0.2698970004336019</v>
      </c>
      <c r="Q21" s="86">
        <f>-1.4+0.1*LOG($M21)</f>
        <v>-1.2698970004336019</v>
      </c>
      <c r="R21" s="86">
        <f>0.4-0.1*LOG($M21)</f>
        <v>0.2698970004336019</v>
      </c>
      <c r="S21" s="86">
        <f>-2.4+0.6*LOG($M21)</f>
        <v>-1.6193820026016112</v>
      </c>
      <c r="AC21" s="66"/>
      <c r="AD21" s="64"/>
      <c r="AE21" s="64"/>
      <c r="AF21" s="64"/>
      <c r="AG21" s="64"/>
      <c r="AH21" s="69"/>
      <c r="AI21" s="69"/>
      <c r="AJ21" s="69"/>
      <c r="AR21" s="69"/>
      <c r="AS21" s="70"/>
      <c r="AZ21" s="68"/>
      <c r="BI21" s="70"/>
      <c r="BS21" s="69"/>
      <c r="BT21" s="70"/>
      <c r="BY21" s="70"/>
      <c r="CB21" s="70"/>
      <c r="CJ21" s="83"/>
    </row>
    <row r="22" spans="2:88" ht="12" customHeight="1">
      <c r="B22" s="87" t="s">
        <v>38</v>
      </c>
      <c r="C22" s="87" t="s">
        <v>62</v>
      </c>
      <c r="D22" s="87" t="s">
        <v>62</v>
      </c>
      <c r="E22" s="87" t="s">
        <v>62</v>
      </c>
      <c r="F22" s="86">
        <v>10</v>
      </c>
      <c r="G22" s="100"/>
      <c r="H22" s="78"/>
      <c r="I22" s="78"/>
      <c r="J22" s="78"/>
      <c r="L22" s="87" t="s">
        <v>40</v>
      </c>
      <c r="M22" s="86">
        <f t="shared" si="6"/>
        <v>50</v>
      </c>
      <c r="N22" s="86">
        <f>0.4-0.1*LOG($M22)</f>
        <v>0.23010299956639813</v>
      </c>
      <c r="O22" s="86">
        <v>-1.1</v>
      </c>
      <c r="P22" s="86">
        <f>0.4-0.1*LOG($M22)</f>
        <v>0.23010299956639813</v>
      </c>
      <c r="Q22" s="86">
        <f>-1.4+0.1*LOG($M22)</f>
        <v>-1.2301029995663981</v>
      </c>
      <c r="R22" s="86">
        <f>0.4-0.1*LOG($M22)</f>
        <v>0.23010299956639813</v>
      </c>
      <c r="S22" s="86">
        <f>-2.4+0.6*LOG($M22)</f>
        <v>-1.3806179973983888</v>
      </c>
      <c r="V22" s="76" t="s">
        <v>73</v>
      </c>
      <c r="AC22" s="66"/>
      <c r="AD22" s="64"/>
      <c r="AE22" s="64"/>
      <c r="AF22" s="64"/>
      <c r="AG22" s="64"/>
      <c r="AH22" s="69"/>
      <c r="AI22" s="69"/>
      <c r="AJ22" s="69"/>
      <c r="AR22" s="69"/>
      <c r="AS22" s="70"/>
      <c r="AZ22" s="68"/>
      <c r="BI22" s="70"/>
      <c r="BS22" s="69"/>
      <c r="BT22" s="70"/>
      <c r="BY22" s="70"/>
      <c r="CB22" s="70"/>
      <c r="CJ22" s="83"/>
    </row>
    <row r="23" spans="2:88" ht="12" customHeight="1">
      <c r="B23" s="87" t="s">
        <v>39</v>
      </c>
      <c r="C23" s="87" t="s">
        <v>62</v>
      </c>
      <c r="D23" s="87" t="s">
        <v>62</v>
      </c>
      <c r="E23" s="87" t="s">
        <v>62</v>
      </c>
      <c r="F23" s="100">
        <v>20</v>
      </c>
      <c r="G23" s="86"/>
      <c r="H23" s="71"/>
      <c r="I23" s="71"/>
      <c r="J23" s="71"/>
      <c r="L23" s="87" t="s">
        <v>51</v>
      </c>
      <c r="M23" s="86">
        <f t="shared" si="6"/>
        <v>100</v>
      </c>
      <c r="N23" s="86">
        <v>0.2</v>
      </c>
      <c r="O23" s="86">
        <v>-1.1</v>
      </c>
      <c r="P23" s="86">
        <v>0.2</v>
      </c>
      <c r="Q23" s="86">
        <v>-1.2</v>
      </c>
      <c r="R23" s="95">
        <v>0.2</v>
      </c>
      <c r="S23" s="95">
        <v>-1.2</v>
      </c>
      <c r="V23" s="76" t="s">
        <v>74</v>
      </c>
      <c r="AC23" s="66"/>
      <c r="AD23" s="64"/>
      <c r="AE23" s="64"/>
      <c r="AF23" s="64"/>
      <c r="AG23" s="64"/>
      <c r="AH23" s="69"/>
      <c r="AI23" s="69"/>
      <c r="AJ23" s="69"/>
      <c r="AR23" s="69"/>
      <c r="AS23" s="70"/>
      <c r="AZ23" s="68"/>
      <c r="BI23" s="70"/>
      <c r="BS23" s="69"/>
      <c r="BT23" s="70"/>
      <c r="BY23" s="70"/>
      <c r="CB23" s="70"/>
      <c r="CJ23" s="83"/>
    </row>
    <row r="24" spans="2:88" ht="12" customHeight="1">
      <c r="B24" s="87" t="s">
        <v>40</v>
      </c>
      <c r="C24" s="87" t="s">
        <v>62</v>
      </c>
      <c r="D24" s="87" t="s">
        <v>62</v>
      </c>
      <c r="E24" s="87" t="s">
        <v>62</v>
      </c>
      <c r="F24" s="86">
        <v>50</v>
      </c>
      <c r="G24" s="86"/>
      <c r="H24" s="71"/>
      <c r="I24" s="71"/>
      <c r="J24" s="71"/>
      <c r="L24" s="87"/>
      <c r="M24" s="87"/>
      <c r="N24" s="87"/>
      <c r="O24" s="86"/>
      <c r="P24" s="86"/>
      <c r="Q24" s="92"/>
      <c r="S24" s="71"/>
      <c r="AC24" s="66"/>
      <c r="AD24" s="64"/>
      <c r="AE24" s="64"/>
      <c r="AF24" s="64"/>
      <c r="AG24" s="64"/>
      <c r="AH24" s="69"/>
      <c r="AI24" s="69"/>
      <c r="AJ24" s="69"/>
      <c r="AR24" s="69"/>
      <c r="AS24" s="70"/>
      <c r="AZ24" s="68"/>
      <c r="BI24" s="70"/>
      <c r="BS24" s="69"/>
      <c r="BT24" s="70"/>
      <c r="BY24" s="70"/>
      <c r="CB24" s="70"/>
      <c r="CJ24" s="83"/>
    </row>
    <row r="25" spans="2:88" ht="12" customHeight="1">
      <c r="B25" s="87" t="s">
        <v>41</v>
      </c>
      <c r="C25" s="87" t="s">
        <v>62</v>
      </c>
      <c r="D25" s="87" t="s">
        <v>62</v>
      </c>
      <c r="E25" s="87" t="s">
        <v>62</v>
      </c>
      <c r="F25" s="86">
        <v>100</v>
      </c>
      <c r="G25" s="86"/>
      <c r="H25" s="71"/>
      <c r="I25" s="71"/>
      <c r="J25" s="71"/>
      <c r="L25" s="94" t="s">
        <v>55</v>
      </c>
      <c r="M25" s="87"/>
      <c r="N25" s="99" t="s">
        <v>83</v>
      </c>
      <c r="O25" s="87"/>
      <c r="P25" s="86"/>
      <c r="Q25" s="87" t="s">
        <v>76</v>
      </c>
      <c r="S25" s="71"/>
      <c r="T25" s="89"/>
      <c r="AC25" s="66"/>
      <c r="AD25" s="64"/>
      <c r="AE25" s="64"/>
      <c r="AF25" s="64"/>
      <c r="AG25" s="64"/>
      <c r="AH25" s="69"/>
      <c r="AI25" s="69"/>
      <c r="AJ25" s="69"/>
      <c r="AR25" s="69"/>
      <c r="AS25" s="70"/>
      <c r="AZ25" s="68"/>
      <c r="BI25" s="70"/>
      <c r="BS25" s="69"/>
      <c r="BT25" s="70"/>
      <c r="BY25" s="70"/>
      <c r="CB25" s="70"/>
      <c r="CJ25" s="83"/>
    </row>
    <row r="26" spans="2:88" ht="12" customHeight="1">
      <c r="B26" s="87" t="s">
        <v>42</v>
      </c>
      <c r="C26" s="87" t="s">
        <v>62</v>
      </c>
      <c r="D26" s="87" t="s">
        <v>62</v>
      </c>
      <c r="E26" s="87" t="s">
        <v>62</v>
      </c>
      <c r="F26" s="86">
        <v>200</v>
      </c>
      <c r="G26" s="86"/>
      <c r="H26" s="71"/>
      <c r="I26" s="71"/>
      <c r="J26" s="71"/>
      <c r="L26" s="91" t="s">
        <v>34</v>
      </c>
      <c r="M26" s="91" t="s">
        <v>36</v>
      </c>
      <c r="N26" s="90" t="s">
        <v>56</v>
      </c>
      <c r="O26" s="90" t="s">
        <v>57</v>
      </c>
      <c r="P26" s="90" t="s">
        <v>58</v>
      </c>
      <c r="Q26" s="90" t="s">
        <v>59</v>
      </c>
      <c r="R26" s="90" t="s">
        <v>60</v>
      </c>
      <c r="S26" s="90" t="s">
        <v>61</v>
      </c>
      <c r="T26" s="89"/>
      <c r="AC26" s="66"/>
      <c r="AD26" s="64"/>
      <c r="AE26" s="64"/>
      <c r="AF26" s="64"/>
      <c r="AG26" s="64"/>
      <c r="AH26" s="69"/>
      <c r="AI26" s="69"/>
      <c r="AJ26" s="69"/>
      <c r="AR26" s="69"/>
      <c r="AS26" s="70"/>
      <c r="AZ26" s="68"/>
      <c r="BI26" s="70"/>
      <c r="BS26" s="69"/>
      <c r="BT26" s="70"/>
      <c r="BY26" s="70"/>
      <c r="CB26" s="70"/>
      <c r="CJ26" s="83"/>
    </row>
    <row r="27" spans="2:88" ht="12" customHeight="1">
      <c r="B27" s="87" t="s">
        <v>43</v>
      </c>
      <c r="C27" s="87" t="s">
        <v>62</v>
      </c>
      <c r="D27" s="87" t="s">
        <v>62</v>
      </c>
      <c r="E27" s="87" t="s">
        <v>62</v>
      </c>
      <c r="F27" s="86">
        <v>500</v>
      </c>
      <c r="G27" s="86"/>
      <c r="H27" s="71"/>
      <c r="I27" s="71"/>
      <c r="J27" s="71"/>
      <c r="L27" s="87" t="s">
        <v>52</v>
      </c>
      <c r="M27" s="86">
        <f aca="true" t="shared" si="7" ref="M27:M32">P4</f>
        <v>261.3333333333333</v>
      </c>
      <c r="N27" s="88">
        <f aca="true" t="shared" si="8" ref="N27:N32">$F$16*(N18+$F$7)</f>
        <v>17.094448479619462</v>
      </c>
      <c r="O27" s="88">
        <f aca="true" t="shared" si="9" ref="O27:O32">$F$16*(O18+$G$7)</f>
        <v>-57.581300141876085</v>
      </c>
      <c r="P27" s="88">
        <f aca="true" t="shared" si="10" ref="P27:P32">$F$16*(P18+$F$7)</f>
        <v>17.094448479619462</v>
      </c>
      <c r="Q27" s="88">
        <f aca="true" t="shared" si="11" ref="Q27:Q32">$F$16*(Q18+$G$7)</f>
        <v>-62.07983921546015</v>
      </c>
      <c r="R27" s="88">
        <f aca="true" t="shared" si="12" ref="R27:R32">$F$16*(R18+$F$7)</f>
        <v>17.094448479619462</v>
      </c>
      <c r="S27" s="88">
        <f aca="true" t="shared" si="13" ref="S27:S32">$F$16*(S18+$G$7)</f>
        <v>-62.07983921546015</v>
      </c>
      <c r="T27" s="89"/>
      <c r="AC27" s="66"/>
      <c r="AD27" s="62" t="s">
        <v>82</v>
      </c>
      <c r="AE27" s="64"/>
      <c r="AF27" s="64"/>
      <c r="AG27" s="64"/>
      <c r="AH27" s="69"/>
      <c r="AI27" s="69"/>
      <c r="AJ27" s="69"/>
      <c r="AR27" s="69"/>
      <c r="AS27" s="70"/>
      <c r="AZ27" s="68"/>
      <c r="BI27" s="70"/>
      <c r="BS27" s="69"/>
      <c r="BT27" s="70"/>
      <c r="BY27" s="70"/>
      <c r="CB27" s="70"/>
      <c r="CJ27" s="83"/>
    </row>
    <row r="28" spans="2:88" ht="12" customHeight="1">
      <c r="B28" s="87"/>
      <c r="C28" s="87"/>
      <c r="D28" s="87"/>
      <c r="E28" s="87"/>
      <c r="F28" s="86"/>
      <c r="G28" s="86"/>
      <c r="H28" s="71"/>
      <c r="I28" s="71"/>
      <c r="J28" s="71"/>
      <c r="L28" s="87" t="s">
        <v>77</v>
      </c>
      <c r="M28" s="86">
        <f t="shared" si="7"/>
        <v>32</v>
      </c>
      <c r="N28" s="88">
        <f t="shared" si="8"/>
        <v>19.32055063771129</v>
      </c>
      <c r="O28" s="88">
        <f t="shared" si="9"/>
        <v>-57.581300141876085</v>
      </c>
      <c r="P28" s="88">
        <f t="shared" si="10"/>
        <v>19.32055063771129</v>
      </c>
      <c r="Q28" s="88">
        <f t="shared" si="11"/>
        <v>-64.30594137355197</v>
      </c>
      <c r="R28" s="88">
        <f t="shared" si="12"/>
        <v>19.32055063771129</v>
      </c>
      <c r="S28" s="88">
        <f t="shared" si="13"/>
        <v>-75.4364521640111</v>
      </c>
      <c r="T28" s="89"/>
      <c r="AC28" s="66"/>
      <c r="AD28" s="64"/>
      <c r="AE28" s="64"/>
      <c r="AF28" s="64"/>
      <c r="AG28" s="64"/>
      <c r="AH28" s="69"/>
      <c r="AI28" s="69"/>
      <c r="AJ28" s="69"/>
      <c r="AS28" s="70"/>
      <c r="AZ28" s="68"/>
      <c r="CJ28" s="70"/>
    </row>
    <row r="29" spans="2:88" ht="12" customHeight="1">
      <c r="B29" s="87"/>
      <c r="C29" s="87"/>
      <c r="D29" s="87"/>
      <c r="E29" s="87"/>
      <c r="F29" s="86"/>
      <c r="G29" s="86"/>
      <c r="H29" s="71"/>
      <c r="I29" s="71"/>
      <c r="J29" s="71"/>
      <c r="L29" s="87" t="s">
        <v>38</v>
      </c>
      <c r="M29" s="86">
        <f t="shared" si="7"/>
        <v>10</v>
      </c>
      <c r="N29" s="86">
        <f t="shared" si="8"/>
        <v>21.59298755320353</v>
      </c>
      <c r="O29" s="86">
        <f t="shared" si="9"/>
        <v>-57.581300141876085</v>
      </c>
      <c r="P29" s="86">
        <f t="shared" si="10"/>
        <v>21.59298755320353</v>
      </c>
      <c r="Q29" s="86">
        <f t="shared" si="11"/>
        <v>-66.57837828904422</v>
      </c>
      <c r="R29" s="86">
        <f t="shared" si="12"/>
        <v>21.59298755320353</v>
      </c>
      <c r="S29" s="86">
        <f t="shared" si="13"/>
        <v>-89.07107365696456</v>
      </c>
      <c r="T29" s="89"/>
      <c r="AC29" s="66"/>
      <c r="AD29" s="64"/>
      <c r="AE29" s="64"/>
      <c r="AF29" s="64"/>
      <c r="AG29" s="64"/>
      <c r="AH29" s="69"/>
      <c r="AI29" s="69"/>
      <c r="AJ29" s="69"/>
      <c r="AS29" s="70"/>
      <c r="AZ29" s="68"/>
      <c r="CJ29" s="70"/>
    </row>
    <row r="30" spans="2:88" ht="12" customHeight="1">
      <c r="B30" s="76" t="s">
        <v>75</v>
      </c>
      <c r="C30" s="87"/>
      <c r="D30" s="87"/>
      <c r="E30" s="87"/>
      <c r="F30" s="86"/>
      <c r="G30" s="86"/>
      <c r="H30" s="71"/>
      <c r="I30" s="71"/>
      <c r="J30" s="71"/>
      <c r="L30" s="87" t="s">
        <v>39</v>
      </c>
      <c r="M30" s="86">
        <f t="shared" si="7"/>
        <v>20</v>
      </c>
      <c r="N30" s="86">
        <f t="shared" si="8"/>
        <v>20.238792355388266</v>
      </c>
      <c r="O30" s="86">
        <f t="shared" si="9"/>
        <v>-57.581300141876085</v>
      </c>
      <c r="P30" s="86">
        <f t="shared" si="10"/>
        <v>20.238792355388266</v>
      </c>
      <c r="Q30" s="86">
        <f t="shared" si="11"/>
        <v>-65.22418309122895</v>
      </c>
      <c r="R30" s="86">
        <f t="shared" si="12"/>
        <v>20.238792355388266</v>
      </c>
      <c r="S30" s="86">
        <f t="shared" si="13"/>
        <v>-80.94590247007298</v>
      </c>
      <c r="T30" s="89"/>
      <c r="AC30" s="66"/>
      <c r="AD30" s="64"/>
      <c r="AE30" s="64"/>
      <c r="AF30" s="64"/>
      <c r="AG30" s="64"/>
      <c r="AH30" s="69"/>
      <c r="AI30" s="69"/>
      <c r="AJ30" s="69"/>
      <c r="AS30" s="70"/>
      <c r="AZ30" s="68"/>
      <c r="CJ30" s="70"/>
    </row>
    <row r="31" spans="2:88" ht="12" customHeight="1">
      <c r="B31" s="87"/>
      <c r="C31" s="87"/>
      <c r="D31" s="86"/>
      <c r="E31" s="86"/>
      <c r="F31" s="86"/>
      <c r="G31" s="86"/>
      <c r="H31" s="71"/>
      <c r="I31" s="71"/>
      <c r="J31" s="71"/>
      <c r="L31" s="87" t="s">
        <v>40</v>
      </c>
      <c r="M31" s="86">
        <f t="shared" si="7"/>
        <v>50</v>
      </c>
      <c r="N31" s="86">
        <f t="shared" si="8"/>
        <v>18.448643677434724</v>
      </c>
      <c r="O31" s="86">
        <f t="shared" si="9"/>
        <v>-57.581300141876085</v>
      </c>
      <c r="P31" s="86">
        <f t="shared" si="10"/>
        <v>18.448643677434724</v>
      </c>
      <c r="Q31" s="86">
        <f t="shared" si="11"/>
        <v>-63.43403441327541</v>
      </c>
      <c r="R31" s="86">
        <f t="shared" si="12"/>
        <v>18.448643677434724</v>
      </c>
      <c r="S31" s="86">
        <f t="shared" si="13"/>
        <v>-70.20501040235172</v>
      </c>
      <c r="T31" s="89"/>
      <c r="AC31" s="66"/>
      <c r="AD31" s="64"/>
      <c r="AE31" s="64"/>
      <c r="AF31" s="64"/>
      <c r="AG31" s="64"/>
      <c r="AH31" s="69"/>
      <c r="AI31" s="69"/>
      <c r="AJ31" s="69"/>
      <c r="AS31" s="70"/>
      <c r="AZ31" s="68"/>
      <c r="CJ31" s="70"/>
    </row>
    <row r="32" spans="2:90" ht="12" customHeight="1">
      <c r="B32" s="94" t="s">
        <v>44</v>
      </c>
      <c r="C32" s="87"/>
      <c r="D32" s="86"/>
      <c r="E32" s="86"/>
      <c r="F32" s="86"/>
      <c r="G32" s="86"/>
      <c r="H32" s="71"/>
      <c r="I32" s="71"/>
      <c r="J32" s="71"/>
      <c r="L32" s="87" t="s">
        <v>41</v>
      </c>
      <c r="M32" s="86">
        <f t="shared" si="7"/>
        <v>100</v>
      </c>
      <c r="N32" s="86">
        <f t="shared" si="8"/>
        <v>17.094448479619462</v>
      </c>
      <c r="O32" s="86">
        <f t="shared" si="9"/>
        <v>-57.581300141876085</v>
      </c>
      <c r="P32" s="86">
        <f t="shared" si="10"/>
        <v>17.094448479619462</v>
      </c>
      <c r="Q32" s="86">
        <f t="shared" si="11"/>
        <v>-62.07983921546015</v>
      </c>
      <c r="R32" s="86">
        <f t="shared" si="12"/>
        <v>17.094448479619462</v>
      </c>
      <c r="S32" s="86">
        <f t="shared" si="13"/>
        <v>-62.07983921546015</v>
      </c>
      <c r="T32" s="89"/>
      <c r="AC32" s="66"/>
      <c r="AD32" s="64"/>
      <c r="AE32" s="64"/>
      <c r="AF32" s="64"/>
      <c r="AG32" s="64"/>
      <c r="AH32" s="69"/>
      <c r="AI32" s="69"/>
      <c r="AJ32" s="69"/>
      <c r="AP32" s="74"/>
      <c r="AQ32" s="68"/>
      <c r="AR32" s="69"/>
      <c r="AS32" s="70"/>
      <c r="BB32" s="70"/>
      <c r="BN32" s="82"/>
      <c r="CJ32" s="70"/>
      <c r="CL32" s="67"/>
    </row>
    <row r="33" spans="2:90" ht="12" customHeight="1">
      <c r="B33" s="91" t="s">
        <v>34</v>
      </c>
      <c r="C33" s="91" t="s">
        <v>36</v>
      </c>
      <c r="D33" s="90" t="s">
        <v>50</v>
      </c>
      <c r="E33" s="90" t="s">
        <v>49</v>
      </c>
      <c r="F33" s="90" t="s">
        <v>46</v>
      </c>
      <c r="G33" s="90" t="s">
        <v>47</v>
      </c>
      <c r="H33" s="71"/>
      <c r="I33" s="71"/>
      <c r="J33" s="71"/>
      <c r="L33" s="87"/>
      <c r="O33" s="80"/>
      <c r="P33" s="79"/>
      <c r="Q33" s="79"/>
      <c r="R33" s="71"/>
      <c r="S33" s="71"/>
      <c r="T33" s="89"/>
      <c r="AC33" s="66"/>
      <c r="AD33" s="64"/>
      <c r="AE33" s="64"/>
      <c r="AF33" s="64"/>
      <c r="AG33" s="64"/>
      <c r="AH33" s="69"/>
      <c r="AI33" s="69"/>
      <c r="AJ33" s="69"/>
      <c r="AP33" s="74"/>
      <c r="AQ33" s="68"/>
      <c r="AR33" s="69"/>
      <c r="AS33" s="70"/>
      <c r="BB33" s="70"/>
      <c r="BN33" s="82"/>
      <c r="CJ33" s="70"/>
      <c r="CL33" s="67"/>
    </row>
    <row r="34" spans="2:90" ht="12" customHeight="1">
      <c r="B34" s="87" t="s">
        <v>37</v>
      </c>
      <c r="C34" s="86">
        <f aca="true" t="shared" si="14" ref="C34:C41">F20</f>
        <v>61.880208333333336</v>
      </c>
      <c r="D34" s="86">
        <f>1.1766-0.1766*LOG(C34)</f>
        <v>0.8602119579164187</v>
      </c>
      <c r="E34" s="86">
        <f>-1.2766+0.1766*LOG(C34)</f>
        <v>-0.9602119579164186</v>
      </c>
      <c r="F34" s="86">
        <f>1.1766-0.1766*LOG(C34)</f>
        <v>0.8602119579164187</v>
      </c>
      <c r="G34" s="86">
        <f>-1.7532+0.3532*LOG(C34)</f>
        <v>-1.1204239158328373</v>
      </c>
      <c r="H34" s="71"/>
      <c r="I34" s="71"/>
      <c r="J34" s="71"/>
      <c r="L34" s="87"/>
      <c r="M34" s="87"/>
      <c r="N34" s="86"/>
      <c r="O34" s="86"/>
      <c r="P34" s="86"/>
      <c r="Q34" s="86"/>
      <c r="R34" s="71"/>
      <c r="S34" s="71"/>
      <c r="T34" s="89"/>
      <c r="AC34" s="66"/>
      <c r="AD34" s="64"/>
      <c r="AE34" s="64"/>
      <c r="AF34" s="64"/>
      <c r="AG34" s="64"/>
      <c r="AH34" s="69"/>
      <c r="AI34" s="69"/>
      <c r="AJ34" s="69"/>
      <c r="AP34" s="74"/>
      <c r="AQ34" s="68"/>
      <c r="AR34" s="69"/>
      <c r="AS34" s="70"/>
      <c r="BB34" s="70"/>
      <c r="BN34" s="82"/>
      <c r="CJ34" s="70"/>
      <c r="CL34" s="67"/>
    </row>
    <row r="35" spans="2:90" ht="12" customHeight="1">
      <c r="B35" s="40" t="s">
        <v>77</v>
      </c>
      <c r="C35" s="86">
        <f t="shared" si="14"/>
        <v>32</v>
      </c>
      <c r="D35" s="86">
        <f>1.1766-0.1766*LOG(C35)</f>
        <v>0.9107905138287047</v>
      </c>
      <c r="E35" s="86">
        <f>-1.2766+0.1766*LOG(C35)</f>
        <v>-1.0107905138287046</v>
      </c>
      <c r="F35" s="86">
        <f>1.1766-0.1766*LOG(C35)</f>
        <v>0.9107905138287047</v>
      </c>
      <c r="G35" s="86">
        <f>-1.7532+0.3532*LOG(C35)</f>
        <v>-1.2215810276574093</v>
      </c>
      <c r="H35" s="71"/>
      <c r="I35" s="71"/>
      <c r="J35" s="71"/>
      <c r="L35" s="94" t="s">
        <v>54</v>
      </c>
      <c r="M35" s="87"/>
      <c r="N35" s="88" t="s">
        <v>63</v>
      </c>
      <c r="O35" s="86"/>
      <c r="P35" s="86"/>
      <c r="Q35" s="86"/>
      <c r="R35" s="98"/>
      <c r="S35" s="71"/>
      <c r="T35" s="89"/>
      <c r="AC35" s="66"/>
      <c r="AD35" s="64"/>
      <c r="AE35" s="64"/>
      <c r="AF35" s="64"/>
      <c r="AG35" s="64"/>
      <c r="AH35" s="69"/>
      <c r="AI35" s="69"/>
      <c r="AJ35" s="69"/>
      <c r="AP35" s="74"/>
      <c r="AQ35" s="68"/>
      <c r="AR35" s="69"/>
      <c r="AS35" s="70"/>
      <c r="BB35" s="70"/>
      <c r="BN35" s="82"/>
      <c r="CJ35" s="70"/>
      <c r="CL35" s="67"/>
    </row>
    <row r="36" spans="2:90" ht="12" customHeight="1">
      <c r="B36" s="87" t="s">
        <v>38</v>
      </c>
      <c r="C36" s="86">
        <f t="shared" si="14"/>
        <v>10</v>
      </c>
      <c r="D36" s="86">
        <v>1</v>
      </c>
      <c r="E36" s="86">
        <v>-1.1</v>
      </c>
      <c r="F36" s="86">
        <v>1</v>
      </c>
      <c r="G36" s="86">
        <v>-1.4</v>
      </c>
      <c r="H36" s="71"/>
      <c r="I36" s="71"/>
      <c r="J36" s="71"/>
      <c r="L36" s="91" t="s">
        <v>34</v>
      </c>
      <c r="M36" s="91" t="s">
        <v>36</v>
      </c>
      <c r="N36" s="90" t="s">
        <v>56</v>
      </c>
      <c r="O36" s="90" t="s">
        <v>57</v>
      </c>
      <c r="P36" s="90" t="s">
        <v>58</v>
      </c>
      <c r="Q36" s="90" t="s">
        <v>59</v>
      </c>
      <c r="R36" s="90" t="s">
        <v>60</v>
      </c>
      <c r="S36" s="90" t="s">
        <v>61</v>
      </c>
      <c r="T36" s="89"/>
      <c r="AC36" s="66"/>
      <c r="AD36" s="64"/>
      <c r="AE36" s="64"/>
      <c r="AF36" s="64"/>
      <c r="AG36" s="64"/>
      <c r="AH36" s="69"/>
      <c r="AI36" s="69"/>
      <c r="AJ36" s="69"/>
      <c r="AP36" s="74"/>
      <c r="AQ36" s="68"/>
      <c r="AR36" s="69"/>
      <c r="AS36" s="70"/>
      <c r="BB36" s="70"/>
      <c r="BN36" s="82"/>
      <c r="CJ36" s="70"/>
      <c r="CL36" s="67"/>
    </row>
    <row r="37" spans="2:89" ht="12" customHeight="1">
      <c r="B37" s="87" t="s">
        <v>39</v>
      </c>
      <c r="C37" s="86">
        <f t="shared" si="14"/>
        <v>20</v>
      </c>
      <c r="D37" s="86">
        <f>1.1766-0.1766*LOG(C37)</f>
        <v>0.946838102765741</v>
      </c>
      <c r="E37" s="86">
        <f>-1.2766+0.1766*LOG(C37)</f>
        <v>-1.046838102765741</v>
      </c>
      <c r="F37" s="86">
        <f>1.1766-0.1766*LOG(C37)</f>
        <v>0.946838102765741</v>
      </c>
      <c r="G37" s="86">
        <f>-1.7532+0.3532*LOG(C37)</f>
        <v>-1.2936762055314819</v>
      </c>
      <c r="H37" s="71"/>
      <c r="I37" s="71"/>
      <c r="J37" s="71"/>
      <c r="L37" s="87" t="s">
        <v>52</v>
      </c>
      <c r="M37" s="86">
        <f aca="true" t="shared" si="15" ref="M37:M42">P4</f>
        <v>261.3333333333333</v>
      </c>
      <c r="N37" s="86">
        <v>0.3</v>
      </c>
      <c r="O37" s="86">
        <v>-0.8</v>
      </c>
      <c r="P37" s="86">
        <v>0.3</v>
      </c>
      <c r="Q37" s="86">
        <v>-2.2</v>
      </c>
      <c r="R37" s="95">
        <v>0.3</v>
      </c>
      <c r="S37" s="95">
        <v>-2.5</v>
      </c>
      <c r="T37" s="89"/>
      <c r="AB37" s="66"/>
      <c r="AC37" s="64"/>
      <c r="AD37" s="64"/>
      <c r="AE37" s="64"/>
      <c r="AF37" s="64"/>
      <c r="AG37" s="69"/>
      <c r="AH37" s="69"/>
      <c r="AI37" s="69"/>
      <c r="AO37" s="74"/>
      <c r="AP37" s="68"/>
      <c r="AQ37" s="69"/>
      <c r="AR37" s="70"/>
      <c r="BA37" s="70"/>
      <c r="BM37" s="82"/>
      <c r="CI37" s="70"/>
      <c r="CK37" s="67"/>
    </row>
    <row r="38" spans="2:78" ht="12" customHeight="1">
      <c r="B38" s="87" t="s">
        <v>40</v>
      </c>
      <c r="C38" s="86">
        <f t="shared" si="14"/>
        <v>50</v>
      </c>
      <c r="D38" s="86">
        <f>1.1766-0.1766*LOG(C38)</f>
        <v>0.8765618972342591</v>
      </c>
      <c r="E38" s="86">
        <f>-1.2766+0.1766*LOG(C38)</f>
        <v>-0.976561897234259</v>
      </c>
      <c r="F38" s="86">
        <f>1.1766-0.1766*LOG(C38)</f>
        <v>0.8765618972342591</v>
      </c>
      <c r="G38" s="86">
        <f>-1.7532+0.3532*LOG(C38)</f>
        <v>-1.1531237944685182</v>
      </c>
      <c r="H38" s="71"/>
      <c r="I38" s="71"/>
      <c r="J38" s="71"/>
      <c r="L38" s="87" t="s">
        <v>77</v>
      </c>
      <c r="M38" s="86">
        <f t="shared" si="15"/>
        <v>32</v>
      </c>
      <c r="N38" s="86">
        <f>0.7-0.2*LOG($M38)</f>
        <v>0.3989700043360187</v>
      </c>
      <c r="O38" s="86">
        <f>-1+0.1*LOG($M38)</f>
        <v>-0.8494850021680094</v>
      </c>
      <c r="P38" s="86">
        <f>0.7-0.2*LOG($M38)</f>
        <v>0.3989700043360187</v>
      </c>
      <c r="Q38" s="86">
        <v>-2.2</v>
      </c>
      <c r="R38" s="86">
        <f>0.7-0.2*LOG($M38)</f>
        <v>0.3989700043360187</v>
      </c>
      <c r="S38" s="86">
        <f>-4.9+1.2*LOG($M38)</f>
        <v>-3.0938200260161133</v>
      </c>
      <c r="T38" s="89"/>
      <c r="AQ38" s="69"/>
      <c r="AR38" s="70"/>
      <c r="BA38" s="70"/>
      <c r="BB38" s="70"/>
      <c r="BC38" s="70"/>
      <c r="BH38" s="70"/>
      <c r="BM38" s="82"/>
      <c r="BZ38" s="70"/>
    </row>
    <row r="39" spans="2:78" ht="12" customHeight="1">
      <c r="B39" s="87" t="s">
        <v>41</v>
      </c>
      <c r="C39" s="86">
        <f t="shared" si="14"/>
        <v>100</v>
      </c>
      <c r="D39" s="86">
        <f>1.1766-0.1766*LOG(C39)</f>
        <v>0.8234000000000001</v>
      </c>
      <c r="E39" s="86">
        <f>-1.2766+0.1766*LOG(C39)</f>
        <v>-0.9234</v>
      </c>
      <c r="F39" s="86">
        <f>1.1766-0.1766*LOG(C39)</f>
        <v>0.8234000000000001</v>
      </c>
      <c r="G39" s="86">
        <f>-1.7532+0.3532*LOG(C39)</f>
        <v>-1.0468000000000002</v>
      </c>
      <c r="H39" s="71"/>
      <c r="I39" s="71"/>
      <c r="J39" s="71"/>
      <c r="L39" s="87" t="s">
        <v>38</v>
      </c>
      <c r="M39" s="86">
        <f t="shared" si="15"/>
        <v>10</v>
      </c>
      <c r="N39" s="86">
        <v>0.5</v>
      </c>
      <c r="O39" s="86">
        <v>-0.9</v>
      </c>
      <c r="P39" s="86">
        <v>0.5</v>
      </c>
      <c r="Q39" s="86">
        <v>-2.2</v>
      </c>
      <c r="R39" s="95">
        <v>0.5</v>
      </c>
      <c r="S39" s="95">
        <v>-3.7</v>
      </c>
      <c r="T39" s="89"/>
      <c r="AC39" s="97"/>
      <c r="AD39" s="64"/>
      <c r="AE39" s="64"/>
      <c r="AF39" s="64"/>
      <c r="AG39" s="85"/>
      <c r="AH39" s="85"/>
      <c r="AI39" s="85"/>
      <c r="BA39" s="70"/>
      <c r="BB39" s="70"/>
      <c r="BC39" s="70"/>
      <c r="BH39" s="70"/>
      <c r="BM39" s="82"/>
      <c r="BZ39" s="68"/>
    </row>
    <row r="40" spans="2:91" ht="12" customHeight="1">
      <c r="B40" s="87" t="s">
        <v>42</v>
      </c>
      <c r="C40" s="86">
        <f t="shared" si="14"/>
        <v>200</v>
      </c>
      <c r="D40" s="86">
        <f>1.1766-0.1766*LOG(C40)</f>
        <v>0.770238102765741</v>
      </c>
      <c r="E40" s="86">
        <f>-1.2766+0.1766*LOG(C40)</f>
        <v>-0.8702381027657409</v>
      </c>
      <c r="F40" s="86">
        <f>1.1766-0.1766*LOG(C40)</f>
        <v>0.770238102765741</v>
      </c>
      <c r="G40" s="86">
        <f>-1.7532+0.3532*LOG(C40)</f>
        <v>-0.9404762055314819</v>
      </c>
      <c r="H40" s="71"/>
      <c r="I40" s="71"/>
      <c r="J40" s="71"/>
      <c r="L40" s="87" t="s">
        <v>39</v>
      </c>
      <c r="M40" s="86">
        <f t="shared" si="15"/>
        <v>20</v>
      </c>
      <c r="N40" s="86">
        <f>0.7-0.2*LOG($M40)</f>
        <v>0.4397940008672037</v>
      </c>
      <c r="O40" s="86">
        <f>-1+0.1*LOG($M40)</f>
        <v>-0.8698970004336019</v>
      </c>
      <c r="P40" s="86">
        <f>0.7-0.2*LOG($M40)</f>
        <v>0.4397940008672037</v>
      </c>
      <c r="Q40" s="86">
        <v>-2.2</v>
      </c>
      <c r="R40" s="86">
        <f>0.7-0.2*LOG($M40)</f>
        <v>0.4397940008672037</v>
      </c>
      <c r="S40" s="86">
        <f>-4.9+1.2*LOG($M40)</f>
        <v>-3.338764005203223</v>
      </c>
      <c r="T40" s="89"/>
      <c r="AC40" s="66"/>
      <c r="AD40" s="64"/>
      <c r="AE40" s="64"/>
      <c r="AF40" s="64"/>
      <c r="AG40" s="64"/>
      <c r="AH40" s="69"/>
      <c r="AI40" s="69"/>
      <c r="AJ40" s="69"/>
      <c r="BI40" s="83"/>
      <c r="BL40" s="67"/>
      <c r="BN40" s="82"/>
      <c r="CA40" s="68"/>
      <c r="CM40" s="67"/>
    </row>
    <row r="41" spans="2:91" ht="12" customHeight="1">
      <c r="B41" s="87" t="s">
        <v>43</v>
      </c>
      <c r="C41" s="86">
        <f t="shared" si="14"/>
        <v>500</v>
      </c>
      <c r="D41" s="86">
        <v>0.7</v>
      </c>
      <c r="E41" s="86">
        <v>-0.8</v>
      </c>
      <c r="F41" s="86">
        <v>0.7</v>
      </c>
      <c r="G41" s="86">
        <v>-0.8</v>
      </c>
      <c r="L41" s="87" t="s">
        <v>40</v>
      </c>
      <c r="M41" s="86">
        <f t="shared" si="15"/>
        <v>50</v>
      </c>
      <c r="N41" s="86">
        <f>0.7-0.2*LOG($M41)</f>
        <v>0.36020599913279616</v>
      </c>
      <c r="O41" s="86">
        <f>-1+0.1*LOG($M41)</f>
        <v>-0.8301029995663981</v>
      </c>
      <c r="P41" s="86">
        <f>0.7-0.2*LOG($M41)</f>
        <v>0.36020599913279616</v>
      </c>
      <c r="Q41" s="86">
        <v>-2.2</v>
      </c>
      <c r="R41" s="86">
        <f>0.7-0.2*LOG($M41)</f>
        <v>0.36020599913279616</v>
      </c>
      <c r="S41" s="86">
        <f>-4.9+1.2*LOG($M41)</f>
        <v>-2.861235994796778</v>
      </c>
      <c r="T41" s="89"/>
      <c r="AC41" s="66"/>
      <c r="AD41" s="64"/>
      <c r="AE41" s="64"/>
      <c r="AF41" s="64"/>
      <c r="AG41" s="64"/>
      <c r="AH41" s="69"/>
      <c r="AI41" s="69"/>
      <c r="AJ41" s="69"/>
      <c r="BI41" s="83"/>
      <c r="BL41" s="67"/>
      <c r="BN41" s="82"/>
      <c r="CA41" s="68"/>
      <c r="CM41" s="67"/>
    </row>
    <row r="42" spans="2:91" ht="12" customHeight="1">
      <c r="B42" s="87"/>
      <c r="C42" s="87"/>
      <c r="D42" s="87"/>
      <c r="E42" s="86"/>
      <c r="F42" s="86"/>
      <c r="G42" s="92"/>
      <c r="L42" s="87" t="s">
        <v>51</v>
      </c>
      <c r="M42" s="86">
        <f t="shared" si="15"/>
        <v>100</v>
      </c>
      <c r="N42" s="86">
        <v>0.3</v>
      </c>
      <c r="O42" s="86">
        <v>-0.8</v>
      </c>
      <c r="P42" s="86">
        <v>0.3</v>
      </c>
      <c r="Q42" s="86">
        <v>-2.2</v>
      </c>
      <c r="R42" s="95">
        <v>0.3</v>
      </c>
      <c r="S42" s="95">
        <v>-2.5</v>
      </c>
      <c r="T42" s="89"/>
      <c r="AC42" s="66"/>
      <c r="AD42" s="64"/>
      <c r="AE42" s="64"/>
      <c r="AF42" s="64"/>
      <c r="AG42" s="64"/>
      <c r="AH42" s="69"/>
      <c r="AI42" s="69"/>
      <c r="AJ42" s="69"/>
      <c r="BI42" s="83"/>
      <c r="BL42" s="67"/>
      <c r="BN42" s="82"/>
      <c r="CA42" s="68"/>
      <c r="CM42" s="67"/>
    </row>
    <row r="43" spans="2:91" ht="12" customHeight="1">
      <c r="B43" s="94" t="s">
        <v>45</v>
      </c>
      <c r="C43" s="87"/>
      <c r="D43" s="87" t="s">
        <v>76</v>
      </c>
      <c r="E43" s="87"/>
      <c r="F43" s="96">
        <f>IF(H8&gt;10,"","(GCp for walls reduced by 10% when θ ≤ 10 degrees)")</f>
      </c>
      <c r="G43" s="92"/>
      <c r="L43" s="87"/>
      <c r="M43" s="87"/>
      <c r="N43" s="87"/>
      <c r="O43" s="86"/>
      <c r="P43" s="86"/>
      <c r="Q43" s="92"/>
      <c r="S43" s="71"/>
      <c r="T43" s="89"/>
      <c r="AC43" s="66"/>
      <c r="AD43" s="64"/>
      <c r="AE43" s="64"/>
      <c r="AF43" s="64"/>
      <c r="AG43" s="64"/>
      <c r="AH43" s="69"/>
      <c r="AI43" s="69"/>
      <c r="AJ43" s="69"/>
      <c r="BI43" s="83"/>
      <c r="BL43" s="67"/>
      <c r="BN43" s="82"/>
      <c r="CA43" s="68"/>
      <c r="CM43" s="67"/>
    </row>
    <row r="44" spans="2:91" ht="12" customHeight="1">
      <c r="B44" s="91" t="s">
        <v>34</v>
      </c>
      <c r="C44" s="91" t="s">
        <v>36</v>
      </c>
      <c r="D44" s="91" t="s">
        <v>48</v>
      </c>
      <c r="E44" s="90" t="s">
        <v>49</v>
      </c>
      <c r="F44" s="90" t="s">
        <v>46</v>
      </c>
      <c r="G44" s="91" t="s">
        <v>47</v>
      </c>
      <c r="L44" s="94" t="s">
        <v>55</v>
      </c>
      <c r="M44" s="87"/>
      <c r="N44" s="93" t="s">
        <v>63</v>
      </c>
      <c r="O44" s="87" t="s">
        <v>76</v>
      </c>
      <c r="P44" s="86"/>
      <c r="Q44" s="92"/>
      <c r="S44" s="71"/>
      <c r="T44" s="89"/>
      <c r="AC44" s="66"/>
      <c r="AD44" s="64"/>
      <c r="AE44" s="64"/>
      <c r="AF44" s="64"/>
      <c r="AG44" s="64"/>
      <c r="AH44" s="69"/>
      <c r="AI44" s="69"/>
      <c r="AJ44" s="69"/>
      <c r="BI44" s="83"/>
      <c r="BL44" s="67"/>
      <c r="BN44" s="82"/>
      <c r="CA44" s="68"/>
      <c r="CM44" s="67"/>
    </row>
    <row r="45" spans="2:91" ht="12" customHeight="1">
      <c r="B45" s="87" t="s">
        <v>37</v>
      </c>
      <c r="C45" s="86">
        <f aca="true" t="shared" si="16" ref="C45:C52">F20</f>
        <v>61.880208333333336</v>
      </c>
      <c r="D45" s="88">
        <f aca="true" t="shared" si="17" ref="D45:D52">IF($H$8&gt;10,$F$16*(D34+$F$7),$F$16*(D34*0.9+$F$7))</f>
        <v>46.79434137496396</v>
      </c>
      <c r="E45" s="88">
        <f aca="true" t="shared" si="18" ref="E45:E52">IF($H$8&gt;10,$F$16*(E34+$G$7),$F$16*(E34*0.9+$G$7))</f>
        <v>-51.292880448548026</v>
      </c>
      <c r="F45" s="88">
        <f aca="true" t="shared" si="19" ref="F45:F52">IF($H$8&gt;10,$F$16*(F34+$F$7),$F$16*(F34*0.9+$F$7))</f>
        <v>46.79434137496396</v>
      </c>
      <c r="G45" s="88">
        <f aca="true" t="shared" si="20" ref="G45:G52">IF($H$8&gt;10,$F$16*(G34+$G$7),$F$16*(G34*0.9+$G$7))</f>
        <v>-58.50007797597219</v>
      </c>
      <c r="H45" s="64"/>
      <c r="J45" s="78"/>
      <c r="L45" s="91" t="s">
        <v>34</v>
      </c>
      <c r="M45" s="91" t="s">
        <v>36</v>
      </c>
      <c r="N45" s="90" t="s">
        <v>56</v>
      </c>
      <c r="O45" s="90" t="s">
        <v>57</v>
      </c>
      <c r="P45" s="90" t="s">
        <v>58</v>
      </c>
      <c r="Q45" s="90" t="s">
        <v>59</v>
      </c>
      <c r="R45" s="90" t="s">
        <v>60</v>
      </c>
      <c r="S45" s="90" t="s">
        <v>61</v>
      </c>
      <c r="T45" s="89"/>
      <c r="AC45" s="66"/>
      <c r="AD45" s="64"/>
      <c r="AE45" s="64"/>
      <c r="AF45" s="64"/>
      <c r="AG45" s="64"/>
      <c r="AH45" s="69"/>
      <c r="AI45" s="69"/>
      <c r="AJ45" s="69"/>
      <c r="BI45" s="83"/>
      <c r="BL45" s="67"/>
      <c r="BN45" s="82"/>
      <c r="CA45" s="68"/>
      <c r="CM45" s="67"/>
    </row>
    <row r="46" spans="2:91" ht="12" customHeight="1">
      <c r="B46" s="40" t="s">
        <v>77</v>
      </c>
      <c r="C46" s="86">
        <f t="shared" si="16"/>
        <v>32</v>
      </c>
      <c r="D46" s="88">
        <f t="shared" si="17"/>
        <v>49.069637475532716</v>
      </c>
      <c r="E46" s="88">
        <f t="shared" si="18"/>
        <v>-53.56817654911678</v>
      </c>
      <c r="F46" s="88">
        <f t="shared" si="19"/>
        <v>49.069637475532716</v>
      </c>
      <c r="G46" s="88">
        <f t="shared" si="20"/>
        <v>-63.05067017710969</v>
      </c>
      <c r="J46" s="71"/>
      <c r="L46" s="87" t="s">
        <v>52</v>
      </c>
      <c r="M46" s="86">
        <f aca="true" t="shared" si="21" ref="M46:M51">P4</f>
        <v>261.3333333333333</v>
      </c>
      <c r="N46" s="88">
        <f aca="true" t="shared" si="22" ref="N46:N51">$F$16*(N37+$F$7)</f>
        <v>21.59298755320353</v>
      </c>
      <c r="O46" s="88">
        <f aca="true" t="shared" si="23" ref="O46:O51">$F$16*(O37+$G$7)</f>
        <v>-44.085682921123876</v>
      </c>
      <c r="P46" s="88">
        <f aca="true" t="shared" si="24" ref="P46:P51">$F$16*(P37+$F$7)</f>
        <v>21.59298755320353</v>
      </c>
      <c r="Q46" s="88">
        <f aca="true" t="shared" si="25" ref="Q46:Q51">$F$16*(Q37+$G$7)</f>
        <v>-107.06522995130085</v>
      </c>
      <c r="R46" s="88">
        <f aca="true" t="shared" si="26" ref="R46:R51">$F$16*(R37+$F$7)</f>
        <v>21.59298755320353</v>
      </c>
      <c r="S46" s="88">
        <f aca="true" t="shared" si="27" ref="S46:S51">$F$16*(S37+$G$7)</f>
        <v>-120.56084717205306</v>
      </c>
      <c r="T46" s="89"/>
      <c r="AC46" s="66"/>
      <c r="AD46" s="64"/>
      <c r="AE46" s="64"/>
      <c r="AF46" s="64"/>
      <c r="AG46" s="64"/>
      <c r="AH46" s="69"/>
      <c r="AI46" s="69"/>
      <c r="AJ46" s="69"/>
      <c r="BI46" s="83"/>
      <c r="BL46" s="67"/>
      <c r="BN46" s="82"/>
      <c r="CA46" s="68"/>
      <c r="CM46" s="67"/>
    </row>
    <row r="47" spans="2:91" ht="12" customHeight="1">
      <c r="B47" s="87" t="s">
        <v>38</v>
      </c>
      <c r="C47" s="86">
        <f t="shared" si="16"/>
        <v>10</v>
      </c>
      <c r="D47" s="86">
        <f t="shared" si="17"/>
        <v>53.08276106829201</v>
      </c>
      <c r="E47" s="86">
        <f t="shared" si="18"/>
        <v>-57.581300141876085</v>
      </c>
      <c r="F47" s="86">
        <f t="shared" si="19"/>
        <v>53.08276106829201</v>
      </c>
      <c r="G47" s="86">
        <f t="shared" si="20"/>
        <v>-71.07691736262828</v>
      </c>
      <c r="H47" s="78"/>
      <c r="I47" s="78"/>
      <c r="J47" s="71"/>
      <c r="L47" s="87" t="s">
        <v>77</v>
      </c>
      <c r="M47" s="86">
        <f t="shared" si="21"/>
        <v>32</v>
      </c>
      <c r="N47" s="88">
        <f t="shared" si="22"/>
        <v>26.045191869387175</v>
      </c>
      <c r="O47" s="88">
        <f t="shared" si="23"/>
        <v>-46.311785079215696</v>
      </c>
      <c r="P47" s="88">
        <f t="shared" si="24"/>
        <v>26.045191869387175</v>
      </c>
      <c r="Q47" s="88">
        <f t="shared" si="25"/>
        <v>-107.06522995130085</v>
      </c>
      <c r="R47" s="88">
        <f t="shared" si="26"/>
        <v>26.045191869387175</v>
      </c>
      <c r="S47" s="88">
        <f t="shared" si="27"/>
        <v>-147.27407306915498</v>
      </c>
      <c r="AC47" s="66"/>
      <c r="AD47" s="64"/>
      <c r="AE47" s="64"/>
      <c r="AF47" s="64"/>
      <c r="AG47" s="64"/>
      <c r="AH47" s="69"/>
      <c r="AI47" s="69"/>
      <c r="AJ47" s="69"/>
      <c r="BI47" s="83"/>
      <c r="BL47" s="67"/>
      <c r="BN47" s="82"/>
      <c r="CA47" s="68"/>
      <c r="CM47" s="67"/>
    </row>
    <row r="48" spans="2:91" ht="12" customHeight="1">
      <c r="B48" s="87" t="s">
        <v>39</v>
      </c>
      <c r="C48" s="86">
        <f t="shared" si="16"/>
        <v>20</v>
      </c>
      <c r="D48" s="86">
        <f t="shared" si="17"/>
        <v>50.691252348950265</v>
      </c>
      <c r="E48" s="86">
        <f t="shared" si="18"/>
        <v>-55.18979142253433</v>
      </c>
      <c r="F48" s="86">
        <f t="shared" si="19"/>
        <v>50.691252348950265</v>
      </c>
      <c r="G48" s="86">
        <f t="shared" si="20"/>
        <v>-66.29389992394478</v>
      </c>
      <c r="H48" s="71"/>
      <c r="I48" s="71"/>
      <c r="J48" s="71"/>
      <c r="L48" s="87" t="s">
        <v>38</v>
      </c>
      <c r="M48" s="86">
        <f t="shared" si="21"/>
        <v>10</v>
      </c>
      <c r="N48" s="86">
        <f t="shared" si="22"/>
        <v>30.590065700371664</v>
      </c>
      <c r="O48" s="86">
        <f t="shared" si="23"/>
        <v>-48.584221994707946</v>
      </c>
      <c r="P48" s="86">
        <f t="shared" si="24"/>
        <v>30.590065700371664</v>
      </c>
      <c r="Q48" s="86">
        <f t="shared" si="25"/>
        <v>-107.06522995130085</v>
      </c>
      <c r="R48" s="86">
        <f t="shared" si="26"/>
        <v>30.590065700371664</v>
      </c>
      <c r="S48" s="86">
        <f t="shared" si="27"/>
        <v>-174.5433160550619</v>
      </c>
      <c r="AC48" s="66"/>
      <c r="AD48" s="64"/>
      <c r="AE48" s="64"/>
      <c r="AF48" s="64"/>
      <c r="AG48" s="64"/>
      <c r="AH48" s="69"/>
      <c r="AI48" s="69"/>
      <c r="AJ48" s="69"/>
      <c r="BI48" s="83"/>
      <c r="BL48" s="67"/>
      <c r="BN48" s="82"/>
      <c r="CA48" s="68"/>
      <c r="CM48" s="67"/>
    </row>
    <row r="49" spans="2:91" ht="12" customHeight="1">
      <c r="B49" s="87" t="s">
        <v>40</v>
      </c>
      <c r="C49" s="86">
        <f t="shared" si="16"/>
        <v>50</v>
      </c>
      <c r="D49" s="86">
        <f t="shared" si="17"/>
        <v>47.529849783684305</v>
      </c>
      <c r="E49" s="86">
        <f t="shared" si="18"/>
        <v>-52.02838885726837</v>
      </c>
      <c r="F49" s="86">
        <f t="shared" si="19"/>
        <v>47.529849783684305</v>
      </c>
      <c r="G49" s="86">
        <f t="shared" si="20"/>
        <v>-59.97109479341286</v>
      </c>
      <c r="H49" s="71"/>
      <c r="I49" s="71"/>
      <c r="J49" s="71"/>
      <c r="L49" s="87" t="s">
        <v>39</v>
      </c>
      <c r="M49" s="86">
        <f t="shared" si="21"/>
        <v>20</v>
      </c>
      <c r="N49" s="86">
        <f t="shared" si="22"/>
        <v>27.88167530474114</v>
      </c>
      <c r="O49" s="86">
        <f t="shared" si="23"/>
        <v>-47.23002679689268</v>
      </c>
      <c r="P49" s="86">
        <f t="shared" si="24"/>
        <v>27.88167530474114</v>
      </c>
      <c r="Q49" s="86">
        <f t="shared" si="25"/>
        <v>-107.06522995130085</v>
      </c>
      <c r="R49" s="86">
        <f t="shared" si="26"/>
        <v>27.88167530474114</v>
      </c>
      <c r="S49" s="86">
        <f t="shared" si="27"/>
        <v>-158.29297368127877</v>
      </c>
      <c r="AC49" s="66"/>
      <c r="AD49" s="64"/>
      <c r="AE49" s="64"/>
      <c r="AF49" s="64"/>
      <c r="AG49" s="64"/>
      <c r="AH49" s="69"/>
      <c r="AI49" s="69"/>
      <c r="AJ49" s="69"/>
      <c r="BI49" s="83"/>
      <c r="BL49" s="67"/>
      <c r="BN49" s="82"/>
      <c r="CA49" s="68"/>
      <c r="CM49" s="67"/>
    </row>
    <row r="50" spans="2:91" ht="12" customHeight="1">
      <c r="B50" s="87" t="s">
        <v>41</v>
      </c>
      <c r="C50" s="86">
        <f t="shared" si="16"/>
        <v>100</v>
      </c>
      <c r="D50" s="86">
        <f t="shared" si="17"/>
        <v>45.13834106434255</v>
      </c>
      <c r="E50" s="86">
        <f t="shared" si="18"/>
        <v>-49.63688013792661</v>
      </c>
      <c r="F50" s="86">
        <f t="shared" si="19"/>
        <v>45.13834106434255</v>
      </c>
      <c r="G50" s="86">
        <f t="shared" si="20"/>
        <v>-55.18807735472936</v>
      </c>
      <c r="H50" s="71"/>
      <c r="I50" s="71"/>
      <c r="J50" s="71"/>
      <c r="L50" s="87" t="s">
        <v>40</v>
      </c>
      <c r="M50" s="86">
        <f t="shared" si="21"/>
        <v>50</v>
      </c>
      <c r="N50" s="86">
        <f t="shared" si="22"/>
        <v>24.30137794883405</v>
      </c>
      <c r="O50" s="86">
        <f t="shared" si="23"/>
        <v>-45.43987811893914</v>
      </c>
      <c r="P50" s="86">
        <f t="shared" si="24"/>
        <v>24.30137794883405</v>
      </c>
      <c r="Q50" s="86">
        <f t="shared" si="25"/>
        <v>-107.06522995130085</v>
      </c>
      <c r="R50" s="86">
        <f t="shared" si="26"/>
        <v>24.30137794883405</v>
      </c>
      <c r="S50" s="86">
        <f t="shared" si="27"/>
        <v>-136.8111895458362</v>
      </c>
      <c r="AC50" s="66"/>
      <c r="AD50" s="64"/>
      <c r="AE50" s="64"/>
      <c r="AF50" s="64"/>
      <c r="AG50" s="64"/>
      <c r="AH50" s="69"/>
      <c r="AI50" s="69"/>
      <c r="AJ50" s="69"/>
      <c r="BI50" s="83"/>
      <c r="BL50" s="67"/>
      <c r="BN50" s="82"/>
      <c r="CA50" s="68"/>
      <c r="CM50" s="67"/>
    </row>
    <row r="51" spans="2:91" ht="12" customHeight="1">
      <c r="B51" s="87" t="s">
        <v>42</v>
      </c>
      <c r="C51" s="86">
        <f t="shared" si="16"/>
        <v>200</v>
      </c>
      <c r="D51" s="86">
        <f t="shared" si="17"/>
        <v>42.7468323450008</v>
      </c>
      <c r="E51" s="86">
        <f t="shared" si="18"/>
        <v>-47.24537141858486</v>
      </c>
      <c r="F51" s="86">
        <f t="shared" si="19"/>
        <v>42.7468323450008</v>
      </c>
      <c r="G51" s="86">
        <f t="shared" si="20"/>
        <v>-50.40505991604585</v>
      </c>
      <c r="H51" s="71"/>
      <c r="I51" s="71"/>
      <c r="J51" s="71"/>
      <c r="L51" s="87" t="s">
        <v>41</v>
      </c>
      <c r="M51" s="86">
        <f t="shared" si="21"/>
        <v>100</v>
      </c>
      <c r="N51" s="86">
        <f t="shared" si="22"/>
        <v>21.59298755320353</v>
      </c>
      <c r="O51" s="86">
        <f t="shared" si="23"/>
        <v>-44.085682921123876</v>
      </c>
      <c r="P51" s="86">
        <f t="shared" si="24"/>
        <v>21.59298755320353</v>
      </c>
      <c r="Q51" s="86">
        <f t="shared" si="25"/>
        <v>-107.06522995130085</v>
      </c>
      <c r="R51" s="86">
        <f t="shared" si="26"/>
        <v>21.59298755320353</v>
      </c>
      <c r="S51" s="86">
        <f t="shared" si="27"/>
        <v>-120.56084717205306</v>
      </c>
      <c r="AC51" s="66"/>
      <c r="AD51" s="64"/>
      <c r="AE51" s="64"/>
      <c r="AF51" s="64"/>
      <c r="AG51" s="64"/>
      <c r="AH51" s="69"/>
      <c r="AI51" s="69"/>
      <c r="AJ51" s="69"/>
      <c r="BI51" s="83"/>
      <c r="BL51" s="67"/>
      <c r="BN51" s="82"/>
      <c r="CA51" s="68"/>
      <c r="CM51" s="67"/>
    </row>
    <row r="52" spans="2:91" ht="12" customHeight="1">
      <c r="B52" s="87" t="s">
        <v>43</v>
      </c>
      <c r="C52" s="86">
        <f t="shared" si="16"/>
        <v>500</v>
      </c>
      <c r="D52" s="86">
        <f t="shared" si="17"/>
        <v>39.5871438475398</v>
      </c>
      <c r="E52" s="86">
        <f t="shared" si="18"/>
        <v>-44.085682921123876</v>
      </c>
      <c r="F52" s="86">
        <f t="shared" si="19"/>
        <v>39.5871438475398</v>
      </c>
      <c r="G52" s="86">
        <f t="shared" si="20"/>
        <v>-44.085682921123876</v>
      </c>
      <c r="H52" s="71"/>
      <c r="I52" s="71"/>
      <c r="J52" s="71"/>
      <c r="Q52" s="64"/>
      <c r="R52" s="85"/>
      <c r="AC52" s="66"/>
      <c r="AD52" s="64"/>
      <c r="AE52" s="64"/>
      <c r="AF52" s="64"/>
      <c r="AG52" s="64"/>
      <c r="AH52" s="69"/>
      <c r="AI52" s="69"/>
      <c r="AJ52" s="69"/>
      <c r="BI52" s="83"/>
      <c r="BL52" s="67"/>
      <c r="BN52" s="82"/>
      <c r="CA52" s="68"/>
      <c r="CM52" s="67"/>
    </row>
    <row r="53" spans="4:91" ht="12" customHeight="1">
      <c r="D53" s="65"/>
      <c r="E53" s="80"/>
      <c r="F53" s="79"/>
      <c r="G53" s="79"/>
      <c r="H53" s="71"/>
      <c r="I53" s="71"/>
      <c r="J53" s="71"/>
      <c r="L53" s="84" t="s">
        <v>72</v>
      </c>
      <c r="M53" s="84"/>
      <c r="N53" s="64"/>
      <c r="O53" s="64"/>
      <c r="P53" s="64"/>
      <c r="Q53" s="64"/>
      <c r="R53" s="85"/>
      <c r="AC53" s="66"/>
      <c r="AD53" s="64"/>
      <c r="AE53" s="64"/>
      <c r="AF53" s="64"/>
      <c r="AG53" s="64"/>
      <c r="AH53" s="69"/>
      <c r="AI53" s="69"/>
      <c r="AJ53" s="69"/>
      <c r="BI53" s="83"/>
      <c r="BL53" s="67"/>
      <c r="BN53" s="82"/>
      <c r="CA53" s="68"/>
      <c r="CM53" s="67"/>
    </row>
    <row r="54" spans="2:56" ht="12" customHeight="1">
      <c r="B54" s="76" t="s">
        <v>73</v>
      </c>
      <c r="D54" s="65"/>
      <c r="E54" s="80"/>
      <c r="F54" s="79"/>
      <c r="G54" s="79"/>
      <c r="H54" s="71"/>
      <c r="I54" s="71"/>
      <c r="J54" s="71"/>
      <c r="L54" s="63" t="s">
        <v>66</v>
      </c>
      <c r="M54" s="63">
        <v>0.1</v>
      </c>
      <c r="N54" s="65" t="s">
        <v>67</v>
      </c>
      <c r="O54" s="81">
        <v>50</v>
      </c>
      <c r="P54" s="79" t="s">
        <v>68</v>
      </c>
      <c r="Q54" s="79">
        <f>M54*O54</f>
        <v>5</v>
      </c>
      <c r="R54" s="72" t="s">
        <v>69</v>
      </c>
      <c r="S54" s="8" t="str">
        <f>IF(Q54&lt;=MIN($Q$54:$Q$55),IF(Q54&gt;=MAX($Q$56:$Q$57),"(controls)",""),"")</f>
        <v>(controls)</v>
      </c>
      <c r="T54" s="58" t="str">
        <f>IF(Q54&lt;=MIN($Q$54:$Q$55),IF(Q54&gt;=MAX($Q$56:$Q$57),CONCATENATE("a = ",Q54," ft"),""),"")</f>
        <v>a = 5 ft</v>
      </c>
      <c r="AC54" s="66"/>
      <c r="AD54" s="64"/>
      <c r="AE54" s="64"/>
      <c r="AF54" s="64"/>
      <c r="AG54" s="64"/>
      <c r="AH54" s="69"/>
      <c r="AI54" s="69"/>
      <c r="AJ54" s="69"/>
      <c r="BB54" s="70"/>
      <c r="BC54" s="70"/>
      <c r="BD54" s="70"/>
    </row>
    <row r="55" spans="2:55" ht="12" customHeight="1">
      <c r="B55" s="76" t="s">
        <v>74</v>
      </c>
      <c r="D55" s="65"/>
      <c r="E55" s="80"/>
      <c r="F55" s="79"/>
      <c r="G55" s="79"/>
      <c r="H55" s="72"/>
      <c r="I55" s="71"/>
      <c r="J55" s="71"/>
      <c r="M55" s="63">
        <v>0.4</v>
      </c>
      <c r="N55" s="63" t="s">
        <v>67</v>
      </c>
      <c r="O55" s="80">
        <f>F11</f>
        <v>16</v>
      </c>
      <c r="P55" s="79" t="s">
        <v>68</v>
      </c>
      <c r="Q55" s="79">
        <f>M55*O55</f>
        <v>6.4</v>
      </c>
      <c r="R55" s="72" t="s">
        <v>69</v>
      </c>
      <c r="S55" s="8">
        <f>IF(Q55&lt;=MIN($Q$54:$Q$55),IF(Q55&gt;=MAX($Q$56:$Q$57),"(controls)",""),"")</f>
      </c>
      <c r="T55" s="58">
        <f>IF(Q55&lt;=MIN($Q$54:$Q$55),IF(Q55&gt;=MAX($Q$56:$Q$57),CONCATENATE("a = ",Q55," ft"),""),"")</f>
      </c>
      <c r="AB55" s="66"/>
      <c r="AC55" s="64"/>
      <c r="AD55" s="64"/>
      <c r="AE55" s="64"/>
      <c r="AF55" s="64"/>
      <c r="AG55" s="69"/>
      <c r="AH55" s="69"/>
      <c r="AI55" s="69"/>
      <c r="BA55" s="70"/>
      <c r="BB55" s="70"/>
      <c r="BC55" s="70"/>
    </row>
    <row r="56" spans="5:55" ht="12" customHeight="1">
      <c r="E56" s="80"/>
      <c r="F56" s="79"/>
      <c r="G56" s="79"/>
      <c r="H56" s="72"/>
      <c r="I56" s="71"/>
      <c r="J56" s="71"/>
      <c r="L56" s="63" t="s">
        <v>70</v>
      </c>
      <c r="M56" s="63">
        <v>0.04</v>
      </c>
      <c r="N56" s="63" t="s">
        <v>67</v>
      </c>
      <c r="O56" s="80">
        <f>O54</f>
        <v>50</v>
      </c>
      <c r="P56" s="79" t="s">
        <v>68</v>
      </c>
      <c r="Q56" s="79">
        <f>M56*O56</f>
        <v>2</v>
      </c>
      <c r="R56" s="72" t="s">
        <v>69</v>
      </c>
      <c r="S56" s="8">
        <f>IF(Q56&gt;=MIN($Q$54:$Q$55),IF(Q56&gt;=MAX($Q$56:$Q$57),"(controls)",""),"")</f>
      </c>
      <c r="T56" s="58">
        <f>IF(Q56&gt;=MIN($Q$54:$Q$55),IF(Q56&gt;=MAX($Q$56:$Q$57),CONCATENATE("a = ",Q56," ft"),""),"")</f>
      </c>
      <c r="AB56" s="66"/>
      <c r="AC56" s="64"/>
      <c r="AD56" s="64"/>
      <c r="AE56" s="64"/>
      <c r="AF56" s="64"/>
      <c r="AG56" s="69"/>
      <c r="AH56" s="69"/>
      <c r="AI56" s="69"/>
      <c r="BA56" s="70"/>
      <c r="BB56" s="70"/>
      <c r="BC56" s="70"/>
    </row>
    <row r="57" spans="5:55" ht="12" customHeight="1">
      <c r="E57" s="80"/>
      <c r="F57" s="79"/>
      <c r="G57" s="79"/>
      <c r="H57" s="71"/>
      <c r="I57" s="71"/>
      <c r="J57" s="71"/>
      <c r="P57" s="63" t="s">
        <v>71</v>
      </c>
      <c r="Q57" s="63">
        <v>3</v>
      </c>
      <c r="R57" s="63" t="s">
        <v>69</v>
      </c>
      <c r="S57" s="8">
        <f>IF(Q57&gt;=MIN($Q$54:$Q$55),IF(Q57&gt;=MAX($Q$56:$Q$57),"(controls)",""),"")</f>
      </c>
      <c r="T57" s="58">
        <f>IF(Q57&gt;=MIN($Q$54:$Q$55),IF(Q57&gt;=MAX($Q$56:$Q$57),CONCATENATE("a = ",Q57," ft"),""),"")</f>
      </c>
      <c r="AB57" s="66"/>
      <c r="AC57" s="64"/>
      <c r="AD57" s="64"/>
      <c r="AE57" s="64"/>
      <c r="AF57" s="64"/>
      <c r="AG57" s="69"/>
      <c r="AH57" s="69"/>
      <c r="AI57" s="69"/>
      <c r="BA57" s="70"/>
      <c r="BB57" s="70"/>
      <c r="BC57" s="70"/>
    </row>
    <row r="58" spans="5:55" ht="12" customHeight="1">
      <c r="E58" s="80"/>
      <c r="F58" s="79"/>
      <c r="G58" s="79"/>
      <c r="H58" s="71"/>
      <c r="I58" s="71"/>
      <c r="J58" s="71"/>
      <c r="AB58" s="66"/>
      <c r="AC58" s="64"/>
      <c r="AD58" s="64"/>
      <c r="AE58" s="64"/>
      <c r="AF58" s="64"/>
      <c r="AG58" s="69"/>
      <c r="AH58" s="69"/>
      <c r="AI58" s="69"/>
      <c r="BA58" s="70"/>
      <c r="BB58" s="70"/>
      <c r="BC58" s="70"/>
    </row>
    <row r="59" spans="1:90" s="67" customFormat="1" ht="12" customHeight="1">
      <c r="A59" s="63"/>
      <c r="B59" s="63"/>
      <c r="C59" s="63"/>
      <c r="D59" s="63"/>
      <c r="E59" s="66"/>
      <c r="F59" s="65"/>
      <c r="G59" s="64"/>
      <c r="H59" s="63"/>
      <c r="I59" s="63"/>
      <c r="J59" s="63"/>
      <c r="K59" s="63"/>
      <c r="L59" s="76" t="s">
        <v>73</v>
      </c>
      <c r="M59" s="63"/>
      <c r="N59" s="63"/>
      <c r="O59" s="63"/>
      <c r="P59" s="63"/>
      <c r="Q59" s="63"/>
      <c r="R59" s="63"/>
      <c r="S59" s="63"/>
      <c r="T59" s="63"/>
      <c r="AB59" s="66"/>
      <c r="AC59" s="64"/>
      <c r="AD59" s="64"/>
      <c r="AE59" s="64"/>
      <c r="AF59" s="64"/>
      <c r="AG59" s="69"/>
      <c r="AH59" s="69"/>
      <c r="AI59" s="69"/>
      <c r="AJ59" s="63"/>
      <c r="AL59" s="63"/>
      <c r="AM59" s="63"/>
      <c r="AN59" s="70"/>
      <c r="AO59" s="70"/>
      <c r="AP59" s="70"/>
      <c r="AQ59" s="70"/>
      <c r="AR59" s="70"/>
      <c r="AS59" s="75"/>
      <c r="AT59" s="70"/>
      <c r="BA59" s="70"/>
      <c r="BB59" s="70"/>
      <c r="BC59" s="63"/>
      <c r="BD59" s="63"/>
      <c r="BE59" s="63"/>
      <c r="BF59" s="63"/>
      <c r="BG59" s="63"/>
      <c r="BH59" s="63"/>
      <c r="BI59" s="63"/>
      <c r="BJ59" s="63"/>
      <c r="BK59" s="63"/>
      <c r="CE59" s="63"/>
      <c r="CF59" s="63"/>
      <c r="CG59" s="63"/>
      <c r="CH59" s="63"/>
      <c r="CI59" s="63"/>
      <c r="CJ59" s="63"/>
      <c r="CK59" s="63"/>
      <c r="CL59" s="63"/>
    </row>
    <row r="60" spans="1:90" s="67" customFormat="1" ht="12" customHeight="1">
      <c r="A60" s="63"/>
      <c r="B60" s="64"/>
      <c r="C60" s="64"/>
      <c r="D60" s="78"/>
      <c r="E60" s="73"/>
      <c r="F60" s="73"/>
      <c r="G60" s="73"/>
      <c r="H60" s="64"/>
      <c r="I60" s="77"/>
      <c r="J60" s="77"/>
      <c r="K60" s="63"/>
      <c r="L60" s="76" t="s">
        <v>74</v>
      </c>
      <c r="M60" s="63"/>
      <c r="N60" s="63"/>
      <c r="O60" s="63"/>
      <c r="P60" s="63"/>
      <c r="Q60" s="63"/>
      <c r="R60" s="63"/>
      <c r="S60" s="63"/>
      <c r="T60" s="63"/>
      <c r="AB60" s="66"/>
      <c r="AC60" s="64"/>
      <c r="AD60" s="64"/>
      <c r="AE60" s="64"/>
      <c r="AF60" s="64"/>
      <c r="AG60" s="69"/>
      <c r="AH60" s="69"/>
      <c r="AI60" s="69"/>
      <c r="AJ60" s="63"/>
      <c r="AL60" s="63"/>
      <c r="AM60" s="63"/>
      <c r="AN60" s="70"/>
      <c r="AO60" s="70"/>
      <c r="AP60" s="70"/>
      <c r="AQ60" s="70"/>
      <c r="AR60" s="70"/>
      <c r="AS60" s="75"/>
      <c r="AT60" s="70"/>
      <c r="BA60" s="70"/>
      <c r="BB60" s="70"/>
      <c r="BC60" s="63"/>
      <c r="BD60" s="63"/>
      <c r="BE60" s="63"/>
      <c r="BF60" s="63"/>
      <c r="BG60" s="63"/>
      <c r="BH60" s="63"/>
      <c r="BI60" s="63"/>
      <c r="BJ60" s="63"/>
      <c r="BK60" s="63"/>
      <c r="CE60" s="63"/>
      <c r="CF60" s="63"/>
      <c r="CG60" s="63"/>
      <c r="CH60" s="63"/>
      <c r="CI60" s="63"/>
      <c r="CJ60" s="63"/>
      <c r="CK60" s="63"/>
      <c r="CL60" s="63"/>
    </row>
    <row r="61" spans="2:54" ht="12" customHeight="1">
      <c r="B61" s="64"/>
      <c r="C61" s="64"/>
      <c r="D61" s="74"/>
      <c r="E61" s="73"/>
      <c r="F61" s="61" t="s">
        <v>81</v>
      </c>
      <c r="G61" s="25"/>
      <c r="H61" s="11"/>
      <c r="I61" s="11"/>
      <c r="J61" s="62" t="s">
        <v>82</v>
      </c>
      <c r="K61" s="7"/>
      <c r="L61" s="7"/>
      <c r="M61" s="7"/>
      <c r="N61" s="7"/>
      <c r="O61" s="7"/>
      <c r="P61" s="7"/>
      <c r="Q61" s="7"/>
      <c r="R61" s="7"/>
      <c r="S61" s="7"/>
      <c r="T61" s="62" t="s">
        <v>82</v>
      </c>
      <c r="AB61" s="66"/>
      <c r="AC61" s="64"/>
      <c r="AD61" s="64"/>
      <c r="AE61" s="64"/>
      <c r="AF61" s="64"/>
      <c r="AG61" s="69"/>
      <c r="AH61" s="69"/>
      <c r="AI61" s="69"/>
      <c r="AJ61" s="67"/>
      <c r="AN61" s="70"/>
      <c r="AO61" s="70"/>
      <c r="AP61" s="70"/>
      <c r="AQ61" s="70"/>
      <c r="AR61" s="70"/>
      <c r="AS61" s="70"/>
      <c r="AT61" s="70"/>
      <c r="BA61" s="70"/>
      <c r="BB61" s="70"/>
    </row>
    <row r="62" spans="28:78" ht="12" customHeight="1">
      <c r="AB62" s="66"/>
      <c r="AC62" s="64"/>
      <c r="AD62" s="64"/>
      <c r="AE62" s="64"/>
      <c r="AF62" s="64"/>
      <c r="AG62" s="69"/>
      <c r="AH62" s="69"/>
      <c r="AI62" s="69"/>
      <c r="AN62" s="70"/>
      <c r="AO62" s="70"/>
      <c r="AP62" s="70"/>
      <c r="AQ62" s="70"/>
      <c r="AR62" s="70"/>
      <c r="AS62" s="70"/>
      <c r="AT62" s="70"/>
      <c r="BA62" s="70"/>
      <c r="BB62" s="70"/>
      <c r="BZ62" s="68"/>
    </row>
    <row r="63" spans="9:87" ht="12" customHeight="1">
      <c r="I63" s="67"/>
      <c r="J63" s="67"/>
      <c r="AB63" s="66"/>
      <c r="AC63" s="64"/>
      <c r="AD63" s="64"/>
      <c r="AE63" s="64"/>
      <c r="AF63" s="64"/>
      <c r="AG63" s="69"/>
      <c r="AH63" s="69"/>
      <c r="AI63" s="69"/>
      <c r="AN63" s="64"/>
      <c r="AO63" s="64"/>
      <c r="AQ63" s="69"/>
      <c r="AR63" s="70"/>
      <c r="BA63" s="70"/>
      <c r="BB63" s="70"/>
      <c r="BH63" s="70"/>
      <c r="CI63" s="70"/>
    </row>
    <row r="64" spans="9:54" ht="12" customHeight="1">
      <c r="I64" s="67"/>
      <c r="J64" s="67"/>
      <c r="T64" s="67"/>
      <c r="BA64" s="70"/>
      <c r="BB64" s="70"/>
    </row>
    <row r="65" spans="20:54" ht="12" customHeight="1">
      <c r="T65" s="67"/>
      <c r="AM65" s="70"/>
      <c r="AQ65" s="69"/>
      <c r="AR65" s="70"/>
      <c r="BA65" s="70"/>
      <c r="BB65" s="70"/>
    </row>
    <row r="66" spans="1:44" ht="11.25">
      <c r="A66" s="67"/>
      <c r="K66" s="67"/>
      <c r="AQ66" s="69"/>
      <c r="AR66" s="70"/>
    </row>
    <row r="67" spans="43:44" ht="11.25">
      <c r="AQ67" s="69"/>
      <c r="AR67" s="68"/>
    </row>
    <row r="69" ht="11.25">
      <c r="K69" s="67"/>
    </row>
    <row r="72" spans="1:55" s="67" customFormat="1" ht="11.25">
      <c r="A72" s="63"/>
      <c r="B72" s="63"/>
      <c r="C72" s="63"/>
      <c r="D72" s="63"/>
      <c r="E72" s="66"/>
      <c r="F72" s="65"/>
      <c r="G72" s="64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AC72" s="63"/>
      <c r="AD72" s="63"/>
      <c r="AE72" s="63"/>
      <c r="AF72" s="63"/>
      <c r="AG72" s="63"/>
      <c r="AH72" s="63"/>
      <c r="AI72" s="63"/>
      <c r="AJ72" s="63"/>
      <c r="BA72" s="63"/>
      <c r="BB72" s="63"/>
      <c r="BC72" s="63"/>
    </row>
    <row r="73" spans="13:18" ht="11.25">
      <c r="M73" s="67"/>
      <c r="N73" s="67"/>
      <c r="O73" s="67"/>
      <c r="P73" s="67"/>
      <c r="Q73" s="67"/>
      <c r="R73" s="67"/>
    </row>
    <row r="74" ht="11.25">
      <c r="L74" s="67"/>
    </row>
    <row r="75" spans="1:55" s="67" customFormat="1" ht="11.25">
      <c r="A75" s="63"/>
      <c r="B75" s="63"/>
      <c r="C75" s="63"/>
      <c r="D75" s="63"/>
      <c r="E75" s="66"/>
      <c r="F75" s="65"/>
      <c r="G75" s="64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T75" s="63"/>
      <c r="U75" s="63"/>
      <c r="V75" s="63"/>
      <c r="W75" s="63"/>
      <c r="X75" s="63"/>
      <c r="Y75" s="63"/>
      <c r="Z75" s="63"/>
      <c r="AA75" s="63"/>
      <c r="AB75" s="63"/>
      <c r="BA75" s="63"/>
      <c r="BB75" s="63"/>
      <c r="BC75" s="63"/>
    </row>
    <row r="76" spans="9:18" ht="11.25">
      <c r="I76" s="67"/>
      <c r="J76" s="67"/>
      <c r="M76" s="67"/>
      <c r="N76" s="67"/>
      <c r="O76" s="67"/>
      <c r="P76" s="67"/>
      <c r="Q76" s="67"/>
      <c r="R76" s="67"/>
    </row>
    <row r="77" spans="12:20" ht="11.25">
      <c r="L77" s="67"/>
      <c r="T77" s="67"/>
    </row>
    <row r="78" spans="1:19" ht="11.25">
      <c r="A78" s="67"/>
      <c r="K78" s="67"/>
      <c r="S78" s="67"/>
    </row>
    <row r="79" spans="9:11" ht="11.25">
      <c r="I79" s="67"/>
      <c r="J79" s="67"/>
      <c r="K79" s="67"/>
    </row>
    <row r="81" spans="1:20" ht="11.25">
      <c r="A81" s="67"/>
      <c r="T81" s="66"/>
    </row>
    <row r="82" spans="11:55" ht="11.25">
      <c r="K82" s="67"/>
      <c r="BB82" s="67"/>
      <c r="BC82" s="67"/>
    </row>
    <row r="83" ht="11.25">
      <c r="K83" s="67"/>
    </row>
    <row r="84" spans="1:55" s="67" customFormat="1" ht="11.25">
      <c r="A84" s="63"/>
      <c r="B84" s="63"/>
      <c r="C84" s="63"/>
      <c r="D84" s="63"/>
      <c r="E84" s="66"/>
      <c r="F84" s="65"/>
      <c r="G84" s="64"/>
      <c r="H84" s="63"/>
      <c r="I84" s="63"/>
      <c r="J84" s="63"/>
      <c r="L84" s="63"/>
      <c r="M84" s="63"/>
      <c r="N84" s="63"/>
      <c r="O84" s="63"/>
      <c r="P84" s="63"/>
      <c r="Q84" s="63"/>
      <c r="R84" s="63"/>
      <c r="S84" s="63"/>
      <c r="T84" s="63"/>
      <c r="BA84" s="63"/>
      <c r="BB84" s="63"/>
      <c r="BC84" s="63"/>
    </row>
    <row r="85" spans="1:20" s="67" customFormat="1" ht="11.25">
      <c r="A85" s="63"/>
      <c r="B85" s="63"/>
      <c r="C85" s="63"/>
      <c r="D85" s="63"/>
      <c r="E85" s="66"/>
      <c r="F85" s="65"/>
      <c r="G85" s="64"/>
      <c r="H85" s="63"/>
      <c r="I85" s="63"/>
      <c r="J85" s="63"/>
      <c r="K85" s="63"/>
      <c r="L85" s="63"/>
      <c r="S85" s="63"/>
      <c r="T85" s="63"/>
    </row>
    <row r="86" spans="12:18" ht="11.25">
      <c r="L86" s="67"/>
      <c r="M86" s="67"/>
      <c r="N86" s="67"/>
      <c r="O86" s="67"/>
      <c r="P86" s="67"/>
      <c r="Q86" s="67"/>
      <c r="R86" s="67"/>
    </row>
    <row r="87" spans="12:19" ht="11.25">
      <c r="L87" s="67"/>
      <c r="S87" s="67"/>
    </row>
    <row r="88" spans="1:20" s="67" customFormat="1" ht="11.25">
      <c r="A88" s="63"/>
      <c r="B88" s="63"/>
      <c r="C88" s="63"/>
      <c r="D88" s="63"/>
      <c r="E88" s="66"/>
      <c r="F88" s="65"/>
      <c r="G88" s="64"/>
      <c r="H88" s="63"/>
      <c r="K88" s="63"/>
      <c r="L88" s="63"/>
      <c r="M88" s="63"/>
      <c r="N88" s="63"/>
      <c r="O88" s="63"/>
      <c r="P88" s="63"/>
      <c r="Q88" s="63"/>
      <c r="R88" s="63"/>
      <c r="T88" s="63"/>
    </row>
    <row r="89" spans="1:19" s="67" customFormat="1" ht="11.25">
      <c r="A89" s="63"/>
      <c r="B89" s="63"/>
      <c r="C89" s="63"/>
      <c r="D89" s="63"/>
      <c r="E89" s="66"/>
      <c r="F89" s="65"/>
      <c r="G89" s="64"/>
      <c r="H89" s="63"/>
      <c r="K89" s="63"/>
      <c r="L89" s="63"/>
      <c r="S89" s="63"/>
    </row>
    <row r="90" spans="2:19" s="67" customFormat="1" ht="11.25">
      <c r="B90" s="63"/>
      <c r="C90" s="63"/>
      <c r="D90" s="63"/>
      <c r="E90" s="66"/>
      <c r="F90" s="65"/>
      <c r="G90" s="64"/>
      <c r="H90" s="63"/>
      <c r="I90" s="63"/>
      <c r="J90" s="63"/>
      <c r="K90" s="63"/>
      <c r="S90" s="63"/>
    </row>
    <row r="91" spans="1:19" ht="11.25">
      <c r="A91" s="67"/>
      <c r="L91" s="67"/>
      <c r="M91" s="67"/>
      <c r="N91" s="67"/>
      <c r="O91" s="67"/>
      <c r="P91" s="67"/>
      <c r="Q91" s="67"/>
      <c r="R91" s="67"/>
      <c r="S91" s="67"/>
    </row>
    <row r="92" spans="9:19" ht="11.25">
      <c r="I92" s="67"/>
      <c r="J92" s="67"/>
      <c r="L92" s="67"/>
      <c r="S92" s="67"/>
    </row>
    <row r="93" spans="9:20" ht="11.25">
      <c r="I93" s="67"/>
      <c r="J93" s="67"/>
      <c r="S93" s="67"/>
      <c r="T93" s="67"/>
    </row>
    <row r="94" spans="1:20" ht="11.25">
      <c r="A94" s="67"/>
      <c r="I94" s="67"/>
      <c r="J94" s="67"/>
      <c r="T94" s="67"/>
    </row>
    <row r="95" spans="1:20" ht="11.25">
      <c r="A95" s="67"/>
      <c r="T95" s="67"/>
    </row>
    <row r="96" ht="11.25">
      <c r="A96" s="67"/>
    </row>
  </sheetData>
  <sheetProtection/>
  <conditionalFormatting sqref="H8">
    <cfRule type="cellIs" priority="1" dxfId="0" operator="lessThanOrEqual" stopIfTrue="1">
      <formula>10</formula>
    </cfRule>
  </conditionalFormatting>
  <printOptions/>
  <pageMargins left="0.75" right="0" top="0.625" bottom="0" header="0.25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Medeek Engineering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Nathaniel P. Wilkerson</dc:creator>
  <cp:keywords/>
  <dc:description/>
  <cp:lastModifiedBy>Nathaniel P. Wilkerson</cp:lastModifiedBy>
  <cp:lastPrinted>2014-10-30T03:00:51Z</cp:lastPrinted>
  <dcterms:created xsi:type="dcterms:W3CDTF">2006-12-28T19:18:19Z</dcterms:created>
  <dcterms:modified xsi:type="dcterms:W3CDTF">2015-07-02T04:54:27Z</dcterms:modified>
  <cp:category/>
  <cp:version/>
  <cp:contentType/>
  <cp:contentStatus/>
</cp:coreProperties>
</file>