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50" windowWidth="27660" windowHeight="14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Sheet1!$A$1:$R$100</definedName>
  </definedNames>
  <calcPr calcId="145621"/>
</workbook>
</file>

<file path=xl/calcChain.xml><?xml version="1.0" encoding="utf-8"?>
<calcChain xmlns="http://schemas.openxmlformats.org/spreadsheetml/2006/main">
  <c r="F40" i="1" l="1"/>
  <c r="H82" i="1"/>
  <c r="W116" i="1"/>
  <c r="W118" i="1"/>
  <c r="M40" i="1"/>
  <c r="W111" i="1"/>
  <c r="AL60" i="1"/>
  <c r="AL61" i="1"/>
  <c r="P67" i="1" s="1"/>
  <c r="AA40" i="1"/>
  <c r="AA37" i="1"/>
  <c r="P76" i="1"/>
  <c r="J72" i="1" s="1"/>
  <c r="C73" i="1" s="1"/>
  <c r="B67" i="1"/>
  <c r="I13" i="1"/>
  <c r="F28" i="1"/>
  <c r="M28" i="1"/>
  <c r="AA34" i="1"/>
  <c r="P55" i="1"/>
  <c r="P59" i="1"/>
  <c r="AA30" i="1"/>
  <c r="AA24" i="1"/>
  <c r="U24" i="1"/>
  <c r="U23" i="1"/>
  <c r="U21" i="1"/>
  <c r="P69" i="1"/>
  <c r="AK55" i="1" s="1"/>
  <c r="P63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81" i="1"/>
  <c r="I51" i="1" l="1"/>
  <c r="AK58" i="1"/>
  <c r="AK54" i="1"/>
  <c r="AK57" i="1"/>
  <c r="AK53" i="1"/>
  <c r="AK56" i="1"/>
  <c r="J90" i="1" s="1"/>
  <c r="AK59" i="1"/>
  <c r="J63" i="1"/>
  <c r="C64" i="1" s="1"/>
  <c r="U22" i="1"/>
  <c r="I52" i="1" s="1"/>
  <c r="R52" i="1"/>
  <c r="U27" i="1" l="1"/>
  <c r="I57" i="1" s="1"/>
  <c r="H28" i="1"/>
  <c r="H27" i="1"/>
  <c r="X28" i="1" l="1"/>
  <c r="U44" i="1" s="1"/>
  <c r="AA44" i="1" s="1"/>
  <c r="I40" i="1"/>
  <c r="H29" i="1" s="1"/>
  <c r="U28" i="1"/>
  <c r="X26" i="1"/>
  <c r="U26" i="1"/>
  <c r="Q22" i="1"/>
  <c r="H26" i="1" s="1"/>
  <c r="C7" i="1"/>
  <c r="B4" i="1"/>
  <c r="H30" i="1" l="1"/>
  <c r="H54" i="1"/>
  <c r="W117" i="1" s="1"/>
  <c r="J76" i="1"/>
  <c r="J77" i="1" s="1"/>
  <c r="J67" i="1"/>
  <c r="J68" i="1" s="1"/>
  <c r="C69" i="1" s="1"/>
  <c r="J80" i="1"/>
  <c r="X27" i="1"/>
  <c r="U43" i="1" s="1"/>
  <c r="AA43" i="1" s="1"/>
  <c r="U31" i="1"/>
  <c r="K4" i="1"/>
  <c r="U47" i="1" s="1"/>
  <c r="U33" i="1" l="1"/>
  <c r="J83" i="1"/>
  <c r="W115" i="1"/>
  <c r="J84" i="1" s="1"/>
  <c r="J94" i="1"/>
  <c r="W112" i="1" s="1"/>
  <c r="J95" i="1" s="1"/>
  <c r="J96" i="1" s="1"/>
  <c r="J91" i="1"/>
  <c r="U30" i="1"/>
  <c r="U34" i="1" s="1"/>
  <c r="U36" i="1" s="1"/>
  <c r="V3" i="1"/>
  <c r="J85" i="1" l="1"/>
  <c r="J87" i="1" s="1"/>
  <c r="J98" i="1"/>
  <c r="AE113" i="1" s="1"/>
  <c r="V8" i="1"/>
  <c r="U37" i="1"/>
  <c r="V14" i="1" s="1"/>
  <c r="X3" i="1"/>
  <c r="V4" i="1"/>
  <c r="X4" i="1" s="1"/>
  <c r="Y47" i="1"/>
  <c r="X47" i="1"/>
  <c r="I10" i="1"/>
  <c r="AE111" i="1" l="1"/>
  <c r="J59" i="1" s="1"/>
  <c r="AE124" i="1"/>
  <c r="AE112" i="1"/>
  <c r="J60" i="1" s="1"/>
  <c r="H53" i="1"/>
  <c r="H58" i="1" s="1"/>
  <c r="F69" i="1"/>
  <c r="F73" i="1"/>
  <c r="AB47" i="1"/>
  <c r="V47" i="1" s="1"/>
  <c r="V13" i="1"/>
  <c r="X14" i="1"/>
  <c r="M15" i="1"/>
  <c r="F15" i="1"/>
  <c r="V7" i="1"/>
  <c r="X8" i="1"/>
  <c r="AE115" i="1" l="1"/>
  <c r="AE116" i="1" s="1"/>
  <c r="AE117" i="1" s="1"/>
  <c r="R67" i="1" s="1"/>
  <c r="AE125" i="1"/>
  <c r="AE126" i="1" s="1"/>
  <c r="AC122" i="1"/>
  <c r="AE122" i="1" s="1"/>
  <c r="M91" i="1"/>
  <c r="L91" i="1" s="1"/>
  <c r="H60" i="1"/>
  <c r="M98" i="1" s="1"/>
  <c r="H59" i="1"/>
  <c r="M87" i="1" s="1"/>
  <c r="F64" i="1"/>
  <c r="E64" i="1" s="1"/>
  <c r="H55" i="1"/>
  <c r="E73" i="1"/>
  <c r="I73" i="1"/>
  <c r="I69" i="1"/>
  <c r="E69" i="1"/>
  <c r="X7" i="1"/>
  <c r="U39" i="1"/>
  <c r="V9" i="1"/>
  <c r="F19" i="1"/>
  <c r="V10" i="1"/>
  <c r="X10" i="1" s="1"/>
  <c r="F33" i="1"/>
  <c r="V16" i="1"/>
  <c r="X16" i="1" s="1"/>
  <c r="U40" i="1"/>
  <c r="M19" i="1"/>
  <c r="M33" i="1"/>
  <c r="V15" i="1"/>
  <c r="X15" i="1" s="1"/>
  <c r="X13" i="1"/>
  <c r="AC121" i="1" l="1"/>
  <c r="AE121" i="1" s="1"/>
  <c r="AC120" i="1"/>
  <c r="AE120" i="1" s="1"/>
  <c r="Q91" i="1"/>
  <c r="AC119" i="1"/>
  <c r="AE119" i="1" s="1"/>
  <c r="K6" i="1"/>
  <c r="R63" i="1"/>
  <c r="L87" i="1"/>
  <c r="Q87" i="1"/>
  <c r="I64" i="1"/>
  <c r="L98" i="1"/>
  <c r="Q98" i="1"/>
  <c r="X9" i="1"/>
  <c r="X44" i="1"/>
  <c r="Y44" i="1"/>
  <c r="Y43" i="1"/>
  <c r="X43" i="1"/>
  <c r="AB43" i="1" l="1"/>
  <c r="V43" i="1" s="1"/>
  <c r="AB44" i="1"/>
  <c r="V44" i="1" s="1"/>
  <c r="K5" i="1" l="1"/>
</calcChain>
</file>

<file path=xl/sharedStrings.xml><?xml version="1.0" encoding="utf-8"?>
<sst xmlns="http://schemas.openxmlformats.org/spreadsheetml/2006/main" count="469" uniqueCount="228">
  <si>
    <t>PORTAL FRAME CALCULATOR</t>
  </si>
  <si>
    <t>PFH1</t>
  </si>
  <si>
    <t>Vs =</t>
  </si>
  <si>
    <t>lbs</t>
  </si>
  <si>
    <t>Vw =</t>
  </si>
  <si>
    <t>Job#:</t>
  </si>
  <si>
    <t>2015-036</t>
  </si>
  <si>
    <t>Pony Wall Unit Shear:</t>
  </si>
  <si>
    <t>plf</t>
  </si>
  <si>
    <t>Total Wall Length:</t>
  </si>
  <si>
    <t>ft.</t>
  </si>
  <si>
    <t>Pony Wall Uplift:</t>
  </si>
  <si>
    <t>Portal Frame Deflection (ASD):</t>
  </si>
  <si>
    <t>in.</t>
  </si>
  <si>
    <t>SP1 Unit Shear:</t>
  </si>
  <si>
    <t>SP1 Shear:</t>
  </si>
  <si>
    <t>SP1 Uplift Left:</t>
  </si>
  <si>
    <t>SP1 Uplift Right:</t>
  </si>
  <si>
    <t>SP2 Unit Shear:</t>
  </si>
  <si>
    <t>SP2 Shear:</t>
  </si>
  <si>
    <t>Pony Wall above Opening</t>
  </si>
  <si>
    <t>SP2 Uplift Left:</t>
  </si>
  <si>
    <t>SP2 Uplift Right:</t>
  </si>
  <si>
    <t>Shear Panel Deflection Calculations</t>
  </si>
  <si>
    <t>E =</t>
  </si>
  <si>
    <r>
      <t xml:space="preserve">psi </t>
    </r>
    <r>
      <rPr>
        <sz val="7"/>
        <color indexed="8"/>
        <rFont val="Arial"/>
        <family val="2"/>
      </rPr>
      <t>(Modulus of Elasticity of End Studs)</t>
    </r>
  </si>
  <si>
    <t>A =</t>
  </si>
  <si>
    <r>
      <t>in</t>
    </r>
    <r>
      <rPr>
        <vertAlign val="superscript"/>
        <sz val="8"/>
        <color indexed="8"/>
        <rFont val="Arial"/>
        <family val="2"/>
      </rPr>
      <t>2</t>
    </r>
    <r>
      <rPr>
        <sz val="7"/>
        <color indexed="8"/>
        <rFont val="Arial"/>
        <family val="2"/>
      </rPr>
      <t xml:space="preserve"> (Area of End Studs)</t>
    </r>
  </si>
  <si>
    <r>
      <t>G</t>
    </r>
    <r>
      <rPr>
        <vertAlign val="sub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=</t>
    </r>
  </si>
  <si>
    <r>
      <t xml:space="preserve">kips/in. </t>
    </r>
    <r>
      <rPr>
        <sz val="7"/>
        <color indexed="8"/>
        <rFont val="Arial"/>
        <family val="2"/>
      </rPr>
      <t>(TABLE 4.3A, 2012 SDPWS)</t>
    </r>
  </si>
  <si>
    <r>
      <t>Δ</t>
    </r>
    <r>
      <rPr>
        <vertAlign val="sub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=</t>
    </r>
  </si>
  <si>
    <r>
      <t xml:space="preserve">in. </t>
    </r>
    <r>
      <rPr>
        <sz val="7"/>
        <color indexed="8"/>
        <rFont val="Arial"/>
        <family val="2"/>
      </rPr>
      <t>(Holdown Manuf. Specific)</t>
    </r>
  </si>
  <si>
    <t>Garage Door Opening</t>
  </si>
  <si>
    <t>Sht. both sides =</t>
  </si>
  <si>
    <t>NO</t>
  </si>
  <si>
    <t>Shear Panel 1</t>
  </si>
  <si>
    <t>Shear Panel 2</t>
  </si>
  <si>
    <t>C1:</t>
  </si>
  <si>
    <t>h =</t>
  </si>
  <si>
    <t>C2:</t>
  </si>
  <si>
    <t>b1 =</t>
  </si>
  <si>
    <t>C3:</t>
  </si>
  <si>
    <t>b2 =</t>
  </si>
  <si>
    <r>
      <t>C1h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/b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:</t>
    </r>
  </si>
  <si>
    <r>
      <t>C1h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/b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:</t>
    </r>
  </si>
  <si>
    <t>Numerator:</t>
  </si>
  <si>
    <t>Denominator:</t>
  </si>
  <si>
    <r>
      <t>V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=</t>
    </r>
  </si>
  <si>
    <r>
      <t>V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</t>
    </r>
  </si>
  <si>
    <r>
      <t>v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=</t>
    </r>
  </si>
  <si>
    <r>
      <t>v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=</t>
    </r>
  </si>
  <si>
    <t>Panel #</t>
  </si>
  <si>
    <t>b (ft)</t>
  </si>
  <si>
    <r>
      <rPr>
        <sz val="8"/>
        <color indexed="8"/>
        <rFont val="Arial"/>
        <family val="2"/>
      </rPr>
      <t>Δs</t>
    </r>
  </si>
  <si>
    <r>
      <rPr>
        <sz val="8"/>
        <color indexed="8"/>
        <rFont val="Arial"/>
        <family val="2"/>
      </rPr>
      <t>Δb</t>
    </r>
  </si>
  <si>
    <r>
      <rPr>
        <sz val="8"/>
        <color indexed="8"/>
        <rFont val="Arial"/>
        <family val="2"/>
      </rPr>
      <t>Δv</t>
    </r>
  </si>
  <si>
    <r>
      <rPr>
        <sz val="8"/>
        <color indexed="8"/>
        <rFont val="Arial"/>
        <family val="2"/>
      </rPr>
      <t>Δn</t>
    </r>
  </si>
  <si>
    <r>
      <rPr>
        <sz val="8"/>
        <color indexed="8"/>
        <rFont val="Arial"/>
        <family val="2"/>
      </rPr>
      <t>Δa</t>
    </r>
  </si>
  <si>
    <r>
      <rPr>
        <b/>
        <sz val="8"/>
        <color indexed="8"/>
        <rFont val="Arial"/>
        <family val="2"/>
      </rPr>
      <t>Δs</t>
    </r>
  </si>
  <si>
    <t>in</t>
  </si>
  <si>
    <t>Pony Wall</t>
  </si>
  <si>
    <t>Copyright © 2015 - Medeek Engineering Inc.</t>
  </si>
  <si>
    <t>*Notes:</t>
  </si>
  <si>
    <t>1.) Shear Distribution based on equivalent deflection of each shear panel.</t>
  </si>
  <si>
    <r>
      <t>lbs</t>
    </r>
    <r>
      <rPr>
        <sz val="7"/>
        <color theme="1"/>
        <rFont val="Arial"/>
        <family val="2"/>
      </rPr>
      <t xml:space="preserve"> (ASD)</t>
    </r>
  </si>
  <si>
    <r>
      <t xml:space="preserve">lbs </t>
    </r>
    <r>
      <rPr>
        <sz val="7"/>
        <color theme="1"/>
        <rFont val="Arial"/>
        <family val="2"/>
      </rPr>
      <t>(ASD)</t>
    </r>
  </si>
  <si>
    <t>3.) Holdown forces conservative since counteracting dead loads (LC7:  0.6D + 0.6W) are not considered in analysis.</t>
  </si>
  <si>
    <t>For a Single Portal Frame Set Panel 2 Width to Zero</t>
  </si>
  <si>
    <t>7/16</t>
  </si>
  <si>
    <t xml:space="preserve">Sheathing Panel Thickness = </t>
  </si>
  <si>
    <t>8d</t>
  </si>
  <si>
    <t xml:space="preserve">Header Depth = </t>
  </si>
  <si>
    <t>15/32</t>
  </si>
  <si>
    <t>Holdown Deflections:</t>
  </si>
  <si>
    <t>Model</t>
  </si>
  <si>
    <t>(1) 2x6</t>
  </si>
  <si>
    <t>(2) 2x6</t>
  </si>
  <si>
    <t>(3) 2x6</t>
  </si>
  <si>
    <t>(4) 2x6</t>
  </si>
  <si>
    <t>4x4</t>
  </si>
  <si>
    <t>4x6</t>
  </si>
  <si>
    <t>6x6</t>
  </si>
  <si>
    <t>6x8</t>
  </si>
  <si>
    <t>(1) 2x4</t>
  </si>
  <si>
    <t>(2) 2x4</t>
  </si>
  <si>
    <t>(3) 2x4</t>
  </si>
  <si>
    <t>(1) 2x8</t>
  </si>
  <si>
    <t>(2) 2x8</t>
  </si>
  <si>
    <t>(3) 2x8</t>
  </si>
  <si>
    <t>DTT2Z</t>
  </si>
  <si>
    <t>HDU2</t>
  </si>
  <si>
    <t>NS</t>
  </si>
  <si>
    <t>HDU4</t>
  </si>
  <si>
    <t>HDU5</t>
  </si>
  <si>
    <t>HDU8</t>
  </si>
  <si>
    <t>HDU11</t>
  </si>
  <si>
    <t>HDU14</t>
  </si>
  <si>
    <t>STHD10</t>
  </si>
  <si>
    <t>STHD14</t>
  </si>
  <si>
    <t>Holdown Capacities:</t>
  </si>
  <si>
    <t>(DF/SP)</t>
  </si>
  <si>
    <t>(4) 2x8</t>
  </si>
  <si>
    <t>Thickness</t>
  </si>
  <si>
    <t>Chord Table</t>
  </si>
  <si>
    <t>Area</t>
  </si>
  <si>
    <t>Depth</t>
  </si>
  <si>
    <t>Header Strap</t>
  </si>
  <si>
    <t>MSTA15</t>
  </si>
  <si>
    <t>MSTA18</t>
  </si>
  <si>
    <t>MSTA21</t>
  </si>
  <si>
    <t>MSTA24</t>
  </si>
  <si>
    <t>MSTA30</t>
  </si>
  <si>
    <t>MSTA36</t>
  </si>
  <si>
    <t>MSTC28</t>
  </si>
  <si>
    <t>MSTC40</t>
  </si>
  <si>
    <t>MSTC52</t>
  </si>
  <si>
    <t>MSTC66</t>
  </si>
  <si>
    <t>Capacity (DF)</t>
  </si>
  <si>
    <t xml:space="preserve">Shear Panel Posts Thickness = </t>
  </si>
  <si>
    <t>Shear Wall Stiffness (w/ 8d nails)</t>
  </si>
  <si>
    <t>Shear Wall Stiffness (w/ 10d nails)</t>
  </si>
  <si>
    <t>10d</t>
  </si>
  <si>
    <t>(TABLE 4.3A, 2012 SDPWS)</t>
  </si>
  <si>
    <t xml:space="preserve">Fastener Lateral Design Value:  Z = </t>
  </si>
  <si>
    <r>
      <t xml:space="preserve">lbs </t>
    </r>
    <r>
      <rPr>
        <sz val="6"/>
        <color theme="1"/>
        <rFont val="Arial"/>
        <family val="2"/>
      </rPr>
      <t>(TABLE 11Q, 2012 NDS)</t>
    </r>
  </si>
  <si>
    <t>(TABLE 11Q, 2012 NDS)</t>
  </si>
  <si>
    <t>Lateral Design Values Z (DF, Common Nails)</t>
  </si>
  <si>
    <t>Shear Capacity of Sheathing (Shear-through-Thickness):</t>
  </si>
  <si>
    <r>
      <t>Panel Shear through Thickness:  F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>t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 xml:space="preserve"> = </t>
    </r>
  </si>
  <si>
    <t>Shear through Thickness (OSB)</t>
  </si>
  <si>
    <t>Fvtv</t>
  </si>
  <si>
    <t>(TABLE M9.2-4, 2012 NDS MANUAL)</t>
  </si>
  <si>
    <t>lbs/in.</t>
  </si>
  <si>
    <r>
      <t>Load Duration Factor:  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 = </t>
    </r>
  </si>
  <si>
    <t xml:space="preserve"> (Seismic/Wind)</t>
  </si>
  <si>
    <t>Sheathing Both Sides Factor</t>
  </si>
  <si>
    <t xml:space="preserve">Holdown Allowable Tension = </t>
  </si>
  <si>
    <t xml:space="preserve">Header Strap Allowable Tension = </t>
  </si>
  <si>
    <r>
      <rPr>
        <sz val="8"/>
        <color theme="1"/>
        <rFont val="Arial"/>
        <family val="2"/>
      </rPr>
      <t>Adjusted Panel Shear through Thickness:  F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>t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>' =  F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>t</t>
    </r>
    <r>
      <rPr>
        <vertAlign val="subscript"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>(C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)(C</t>
    </r>
    <r>
      <rPr>
        <vertAlign val="subscript"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>)(C</t>
    </r>
    <r>
      <rPr>
        <vertAlign val="subscript"/>
        <sz val="8"/>
        <color theme="1"/>
        <rFont val="Arial"/>
        <family val="2"/>
      </rPr>
      <t>t</t>
    </r>
    <r>
      <rPr>
        <sz val="8"/>
        <color theme="1"/>
        <rFont val="Arial"/>
        <family val="2"/>
      </rPr>
      <t>)(C</t>
    </r>
    <r>
      <rPr>
        <vertAlign val="subscript"/>
        <sz val="8"/>
        <color theme="1"/>
        <rFont val="Arial"/>
        <family val="2"/>
      </rPr>
      <t>G</t>
    </r>
    <r>
      <rPr>
        <sz val="8"/>
        <color theme="1"/>
        <rFont val="Arial"/>
        <family val="2"/>
      </rPr>
      <t>) =</t>
    </r>
  </si>
  <si>
    <t>Shear Capacity of Panel-to-Framing Nails:</t>
  </si>
  <si>
    <t>nails</t>
  </si>
  <si>
    <t>(1)-2x</t>
  </si>
  <si>
    <t>Sill Plate:</t>
  </si>
  <si>
    <t>Anchor Bolts</t>
  </si>
  <si>
    <t>(1)-3x</t>
  </si>
  <si>
    <t>(2)-2x</t>
  </si>
  <si>
    <t>(3)-2x</t>
  </si>
  <si>
    <t>AB DIA</t>
  </si>
  <si>
    <t>Z Parallel</t>
  </si>
  <si>
    <t>plates</t>
  </si>
  <si>
    <t>plate</t>
  </si>
  <si>
    <t>Sill Plate</t>
  </si>
  <si>
    <t xml:space="preserve">Holdowns : </t>
  </si>
  <si>
    <t xml:space="preserve">Shear Panel Posts : </t>
  </si>
  <si>
    <t xml:space="preserve">Header Strap both sides : </t>
  </si>
  <si>
    <t>Anchor Bolt DIA =</t>
  </si>
  <si>
    <t>Number of Anchor Bolts per Panel =</t>
  </si>
  <si>
    <r>
      <t>AB Lateral Design Value:  Z</t>
    </r>
    <r>
      <rPr>
        <vertAlign val="subscript"/>
        <sz val="8"/>
        <color theme="1"/>
        <rFont val="Arial"/>
        <family val="2"/>
      </rPr>
      <t>ab</t>
    </r>
    <r>
      <rPr>
        <sz val="8"/>
        <color theme="1"/>
        <rFont val="Arial"/>
        <family val="2"/>
      </rPr>
      <t xml:space="preserve"> = </t>
    </r>
  </si>
  <si>
    <r>
      <t xml:space="preserve">lbs </t>
    </r>
    <r>
      <rPr>
        <sz val="6"/>
        <color theme="1"/>
        <rFont val="Arial"/>
        <family val="2"/>
      </rPr>
      <t>(TABLE 11E, 2012 NDS)</t>
    </r>
  </si>
  <si>
    <t xml:space="preserve">Fastener Type : </t>
  </si>
  <si>
    <t xml:space="preserve">Sheathing both sides : </t>
  </si>
  <si>
    <t xml:space="preserve">Header Strap : </t>
  </si>
  <si>
    <r>
      <t>Adjusted Lateral Capacity of Nails:  Z' =  Z(C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)(N) =</t>
    </r>
  </si>
  <si>
    <t>Shear Capacity of Anchor Bolts:</t>
  </si>
  <si>
    <r>
      <t>Adjusted Lateral Capacity of Bolts:  Z</t>
    </r>
    <r>
      <rPr>
        <vertAlign val="subscript"/>
        <sz val="8"/>
        <color theme="1"/>
        <rFont val="Arial"/>
        <family val="2"/>
      </rPr>
      <t>ab</t>
    </r>
    <r>
      <rPr>
        <sz val="8"/>
        <color theme="1"/>
        <rFont val="Arial"/>
        <family val="2"/>
      </rPr>
      <t>' =  Z</t>
    </r>
    <r>
      <rPr>
        <vertAlign val="subscript"/>
        <sz val="8"/>
        <color theme="1"/>
        <rFont val="Arial"/>
        <family val="2"/>
      </rPr>
      <t>ab</t>
    </r>
    <r>
      <rPr>
        <sz val="8"/>
        <color theme="1"/>
        <rFont val="Arial"/>
        <family val="2"/>
      </rPr>
      <t>(C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)(N) =</t>
    </r>
  </si>
  <si>
    <t>(TABLE 11E, 2012 NDS, Northern Species)</t>
  </si>
  <si>
    <t>Moment Capacity of Sheathing (Edgewise Bending @ Header/Top of Panel):</t>
  </si>
  <si>
    <r>
      <t>in.</t>
    </r>
    <r>
      <rPr>
        <vertAlign val="superscript"/>
        <sz val="8"/>
        <color theme="1"/>
        <rFont val="Arial"/>
        <family val="2"/>
      </rPr>
      <t>3</t>
    </r>
  </si>
  <si>
    <r>
      <t>Section Modulus of Sheathing Panel in Bending:  S = bh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/6 = </t>
    </r>
  </si>
  <si>
    <t>Sheathing Thickness</t>
  </si>
  <si>
    <r>
      <t>Adjusted Moment Capacity of Sheathing:  M</t>
    </r>
    <r>
      <rPr>
        <vertAlign val="subscript"/>
        <sz val="8"/>
        <color theme="1"/>
        <rFont val="Arial"/>
        <family val="2"/>
      </rPr>
      <t>wsp</t>
    </r>
    <r>
      <rPr>
        <sz val="8"/>
        <color theme="1"/>
        <rFont val="Arial"/>
        <family val="2"/>
      </rPr>
      <t>' =  F</t>
    </r>
    <r>
      <rPr>
        <vertAlign val="subscript"/>
        <sz val="8"/>
        <color theme="1"/>
        <rFont val="Arial"/>
        <family val="2"/>
      </rPr>
      <t>be</t>
    </r>
    <r>
      <rPr>
        <sz val="8"/>
        <color theme="1"/>
        <rFont val="Arial"/>
        <family val="2"/>
      </rPr>
      <t>(C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)(S) =</t>
    </r>
  </si>
  <si>
    <t>in-lbs</t>
  </si>
  <si>
    <t>Moment Capacity of Header Strap (Tension @ Header/Top of Panel):</t>
  </si>
  <si>
    <r>
      <t>W</t>
    </r>
    <r>
      <rPr>
        <vertAlign val="subscript"/>
        <sz val="8"/>
        <color theme="1"/>
        <rFont val="Arial"/>
        <family val="2"/>
      </rPr>
      <t>p2</t>
    </r>
  </si>
  <si>
    <r>
      <t>W</t>
    </r>
    <r>
      <rPr>
        <vertAlign val="subscript"/>
        <sz val="8"/>
        <color theme="1"/>
        <rFont val="Arial"/>
        <family val="2"/>
      </rPr>
      <t>p1</t>
    </r>
  </si>
  <si>
    <r>
      <t>Adjusted Moment Capacity of Header Strap:  M</t>
    </r>
    <r>
      <rPr>
        <vertAlign val="subscript"/>
        <sz val="8"/>
        <color theme="1"/>
        <rFont val="Arial"/>
        <family val="2"/>
      </rPr>
      <t>strap</t>
    </r>
    <r>
      <rPr>
        <sz val="8"/>
        <color theme="1"/>
        <rFont val="Arial"/>
        <family val="2"/>
      </rPr>
      <t>' =  T</t>
    </r>
    <r>
      <rPr>
        <vertAlign val="subscript"/>
        <sz val="8"/>
        <color theme="1"/>
        <rFont val="Arial"/>
        <family val="2"/>
      </rPr>
      <t>strap</t>
    </r>
    <r>
      <rPr>
        <sz val="8"/>
        <color theme="1"/>
        <rFont val="Arial"/>
        <family val="2"/>
      </rPr>
      <t>(W</t>
    </r>
    <r>
      <rPr>
        <vertAlign val="subscript"/>
        <sz val="8"/>
        <color theme="1"/>
        <rFont val="Arial"/>
        <family val="2"/>
      </rPr>
      <t xml:space="preserve">p </t>
    </r>
    <r>
      <rPr>
        <sz val="8"/>
        <color theme="1"/>
        <rFont val="Arial"/>
        <family val="2"/>
      </rPr>
      <t xml:space="preserve">- 1.5) = </t>
    </r>
  </si>
  <si>
    <t>Header Strap Both Sides Factor</t>
  </si>
  <si>
    <t>Max. Panel Width =</t>
  </si>
  <si>
    <t>Max. Unit Shear @ Panels =</t>
  </si>
  <si>
    <t>Max. Shear @ Panels =</t>
  </si>
  <si>
    <t>Design Criteria:</t>
  </si>
  <si>
    <r>
      <t>psi</t>
    </r>
    <r>
      <rPr>
        <sz val="7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(TABLE 4, APA W345)</t>
    </r>
  </si>
  <si>
    <t>Moment Capacity of Holdown:</t>
  </si>
  <si>
    <t>Edge Distance</t>
  </si>
  <si>
    <r>
      <t>Adjusted Moment Capacity of Holdown:  M</t>
    </r>
    <r>
      <rPr>
        <vertAlign val="subscript"/>
        <sz val="8"/>
        <color theme="1"/>
        <rFont val="Arial"/>
        <family val="2"/>
      </rPr>
      <t>holdown</t>
    </r>
    <r>
      <rPr>
        <sz val="8"/>
        <color theme="1"/>
        <rFont val="Arial"/>
        <family val="2"/>
      </rPr>
      <t>' =  T</t>
    </r>
    <r>
      <rPr>
        <vertAlign val="subscript"/>
        <sz val="8"/>
        <color theme="1"/>
        <rFont val="Arial"/>
        <family val="2"/>
      </rPr>
      <t>holdown</t>
    </r>
    <r>
      <rPr>
        <sz val="8"/>
        <color theme="1"/>
        <rFont val="Arial"/>
        <family val="2"/>
      </rPr>
      <t>(W</t>
    </r>
    <r>
      <rPr>
        <vertAlign val="subscript"/>
        <sz val="8"/>
        <color theme="1"/>
        <rFont val="Arial"/>
        <family val="2"/>
      </rPr>
      <t xml:space="preserve">p </t>
    </r>
    <r>
      <rPr>
        <sz val="8"/>
        <color theme="1"/>
        <rFont val="Arial"/>
        <family val="2"/>
      </rPr>
      <t>- D</t>
    </r>
    <r>
      <rPr>
        <vertAlign val="subscript"/>
        <sz val="8"/>
        <color theme="1"/>
        <rFont val="Arial"/>
        <family val="2"/>
      </rPr>
      <t>center</t>
    </r>
    <r>
      <rPr>
        <sz val="8"/>
        <color theme="1"/>
        <rFont val="Arial"/>
        <family val="2"/>
      </rPr>
      <t xml:space="preserve">) = </t>
    </r>
  </si>
  <si>
    <r>
      <t>Distance from centerline of holdown to panel edge:  D</t>
    </r>
    <r>
      <rPr>
        <vertAlign val="subscript"/>
        <sz val="8"/>
        <color theme="1"/>
        <rFont val="Arial"/>
        <family val="2"/>
      </rPr>
      <t>center</t>
    </r>
    <r>
      <rPr>
        <sz val="8"/>
        <color theme="1"/>
        <rFont val="Arial"/>
        <family val="2"/>
      </rPr>
      <t xml:space="preserve"> =</t>
    </r>
  </si>
  <si>
    <t>Foundation Type =</t>
  </si>
  <si>
    <t>Foundation Type</t>
  </si>
  <si>
    <t>8" Stemwall</t>
  </si>
  <si>
    <t>6" Stemwall</t>
  </si>
  <si>
    <t>SOG</t>
  </si>
  <si>
    <t>Red. Factor Fnd.</t>
  </si>
  <si>
    <t>Moment Capacity of Nails into Sill Plate:</t>
  </si>
  <si>
    <t>(only nails into bottom sill plate considered, conservative)</t>
  </si>
  <si>
    <r>
      <t>Distance from center of rotation to furthest fastener (longest moment arm):  r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=</t>
    </r>
  </si>
  <si>
    <r>
      <t xml:space="preserve">in. </t>
    </r>
    <r>
      <rPr>
        <sz val="7"/>
        <color theme="1"/>
        <rFont val="Arial"/>
        <family val="2"/>
      </rPr>
      <t>(assume nail edge distance of 0.75")</t>
    </r>
  </si>
  <si>
    <t>Moment of Inertia Calculations for Sill Plate Fasteners</t>
  </si>
  <si>
    <t>b =</t>
  </si>
  <si>
    <r>
      <t>in.</t>
    </r>
    <r>
      <rPr>
        <vertAlign val="superscript"/>
        <sz val="8"/>
        <color theme="1"/>
        <rFont val="Arial"/>
        <family val="2"/>
      </rPr>
      <t>4</t>
    </r>
  </si>
  <si>
    <r>
      <t>Polar Moment of Inertia of Nail Group:  J = I</t>
    </r>
    <r>
      <rPr>
        <vertAlign val="subscript"/>
        <sz val="8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 + I</t>
    </r>
    <r>
      <rPr>
        <vertAlign val="subscript"/>
        <sz val="8"/>
        <color theme="1"/>
        <rFont val="Arial"/>
        <family val="2"/>
      </rPr>
      <t>y</t>
    </r>
    <r>
      <rPr>
        <sz val="8"/>
        <color theme="1"/>
        <rFont val="Arial"/>
        <family val="2"/>
      </rPr>
      <t xml:space="preserve"> = bh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/12 + hb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/12 =</t>
    </r>
  </si>
  <si>
    <r>
      <t>Adjusted Moment Capacity of Sill Plate Nail Group:  M</t>
    </r>
    <r>
      <rPr>
        <vertAlign val="subscript"/>
        <sz val="8"/>
        <color theme="1"/>
        <rFont val="Arial"/>
        <family val="2"/>
      </rPr>
      <t>sill</t>
    </r>
    <r>
      <rPr>
        <sz val="8"/>
        <color theme="1"/>
        <rFont val="Arial"/>
        <family val="2"/>
      </rPr>
      <t>' =  ZC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J/S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r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= </t>
    </r>
  </si>
  <si>
    <t xml:space="preserve">Nail Spacing:  S = </t>
  </si>
  <si>
    <r>
      <rPr>
        <sz val="7"/>
        <color theme="1"/>
        <rFont val="Arial"/>
        <family val="2"/>
      </rPr>
      <t xml:space="preserve">Allowable Edgewise Bending Stress: </t>
    </r>
    <r>
      <rPr>
        <sz val="8"/>
        <color theme="1"/>
        <rFont val="Arial"/>
        <family val="2"/>
      </rPr>
      <t xml:space="preserve"> F</t>
    </r>
    <r>
      <rPr>
        <vertAlign val="subscript"/>
        <sz val="8"/>
        <color theme="1"/>
        <rFont val="Arial"/>
        <family val="2"/>
      </rPr>
      <t>be</t>
    </r>
    <r>
      <rPr>
        <sz val="8"/>
        <color theme="1"/>
        <rFont val="Arial"/>
        <family val="2"/>
      </rPr>
      <t xml:space="preserve">  = </t>
    </r>
  </si>
  <si>
    <t>Moment Capacity of Nails into Header:</t>
  </si>
  <si>
    <t>Moment of Inertia Calculations for Header Fasteners</t>
  </si>
  <si>
    <t>rx =</t>
  </si>
  <si>
    <t>ry =</t>
  </si>
  <si>
    <r>
      <t>Adjusted Moment Capacity of Header Nail Group:  M</t>
    </r>
    <r>
      <rPr>
        <vertAlign val="subscript"/>
        <sz val="8"/>
        <color theme="1"/>
        <rFont val="Arial"/>
        <family val="2"/>
      </rPr>
      <t>header</t>
    </r>
    <r>
      <rPr>
        <sz val="8"/>
        <color theme="1"/>
        <rFont val="Arial"/>
        <family val="2"/>
      </rPr>
      <t>' =  ZC</t>
    </r>
    <r>
      <rPr>
        <vertAlign val="sub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J/S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r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= </t>
    </r>
  </si>
  <si>
    <t xml:space="preserve">Combined Moment Capacity at Top of Portal Frame Shear Panel = </t>
  </si>
  <si>
    <t xml:space="preserve">Combined Moment Capacity at Bottom of Portal Frame Shear Panel = </t>
  </si>
  <si>
    <t>Moment Distribution:</t>
  </si>
  <si>
    <t>Max. Moments @ Panels =</t>
  </si>
  <si>
    <t>Applied Moment @ Top of Shear Panel =</t>
  </si>
  <si>
    <t>Applied Moment @ Bottom of Shear Panel =</t>
  </si>
  <si>
    <t>Moment Distribution</t>
  </si>
  <si>
    <t>Ratio of Top/Total Moment Capacity</t>
  </si>
  <si>
    <t>Ratio of Bottom/Total Moment Capacity</t>
  </si>
  <si>
    <t>Ratio of Holdowns/Total Moment Capacity</t>
  </si>
  <si>
    <t>Applied Moment to Holdowns</t>
  </si>
  <si>
    <t>Applied Tension to Holdown Inside</t>
  </si>
  <si>
    <t>Applied Tension to Holdown Outside</t>
  </si>
  <si>
    <t>Applie Moment to Header Strap</t>
  </si>
  <si>
    <t>Ratio of Header Strap/Total Moment Capacity</t>
  </si>
  <si>
    <t>Applied Tension to Header Strap</t>
  </si>
  <si>
    <t>Max. Tension of Header Strap:</t>
  </si>
  <si>
    <t>2.) Holdown forces shown in grey indicate loads if holdowns assume 100% of shear panel overturning moments.</t>
  </si>
  <si>
    <t>Rev. 1.0.1 - 08/25/2015</t>
  </si>
  <si>
    <t>(Simpson)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</si>
</sst>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"/>
    <numFmt numFmtId="167" formatCode="#,##0.000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rgb="FFC0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rgb="FF007A37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AF3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165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8" fontId="3" fillId="0" borderId="0" xfId="0" applyNumberFormat="1" applyFont="1"/>
    <xf numFmtId="0" fontId="13" fillId="0" borderId="0" xfId="0" applyFont="1" applyAlignment="1">
      <alignment horizontal="right" vertical="center"/>
    </xf>
    <xf numFmtId="0" fontId="14" fillId="0" borderId="0" xfId="0" applyFont="1"/>
    <xf numFmtId="4" fontId="4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4" fontId="4" fillId="2" borderId="0" xfId="0" applyNumberFormat="1" applyFont="1" applyFill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166" fontId="4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 applyProtection="1">
      <alignment vertical="center"/>
    </xf>
    <xf numFmtId="3" fontId="4" fillId="3" borderId="0" xfId="0" applyNumberFormat="1" applyFont="1" applyFill="1" applyAlignment="1" applyProtection="1">
      <alignment vertical="center"/>
      <protection locked="0"/>
    </xf>
    <xf numFmtId="3" fontId="4" fillId="3" borderId="0" xfId="0" applyNumberFormat="1" applyFont="1" applyFill="1" applyAlignment="1" applyProtection="1">
      <alignment vertical="center"/>
    </xf>
    <xf numFmtId="0" fontId="3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6" fontId="4" fillId="4" borderId="7" xfId="0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0" borderId="6" xfId="0" applyFont="1" applyFill="1" applyBorder="1"/>
    <xf numFmtId="0" fontId="4" fillId="0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4" borderId="2" xfId="0" applyFont="1" applyFill="1" applyBorder="1"/>
    <xf numFmtId="2" fontId="4" fillId="4" borderId="5" xfId="0" applyNumberFormat="1" applyFont="1" applyFill="1" applyBorder="1"/>
    <xf numFmtId="0" fontId="4" fillId="4" borderId="6" xfId="0" applyFont="1" applyFill="1" applyBorder="1"/>
    <xf numFmtId="2" fontId="4" fillId="4" borderId="7" xfId="0" applyNumberFormat="1" applyFont="1" applyFill="1" applyBorder="1"/>
    <xf numFmtId="0" fontId="4" fillId="4" borderId="8" xfId="0" applyFont="1" applyFill="1" applyBorder="1"/>
    <xf numFmtId="2" fontId="4" fillId="4" borderId="0" xfId="0" applyNumberFormat="1" applyFont="1" applyFill="1" applyBorder="1"/>
    <xf numFmtId="2" fontId="4" fillId="4" borderId="4" xfId="0" applyNumberFormat="1" applyFont="1" applyFill="1" applyBorder="1"/>
    <xf numFmtId="2" fontId="4" fillId="4" borderId="1" xfId="0" applyNumberFormat="1" applyFont="1" applyFill="1" applyBorder="1"/>
    <xf numFmtId="2" fontId="4" fillId="4" borderId="9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horizontal="right"/>
    </xf>
    <xf numFmtId="3" fontId="4" fillId="4" borderId="5" xfId="0" applyNumberFormat="1" applyFont="1" applyFill="1" applyBorder="1"/>
    <xf numFmtId="3" fontId="4" fillId="4" borderId="7" xfId="0" applyNumberFormat="1" applyFont="1" applyFill="1" applyBorder="1"/>
    <xf numFmtId="3" fontId="4" fillId="4" borderId="9" xfId="0" applyNumberFormat="1" applyFont="1" applyFill="1" applyBorder="1"/>
    <xf numFmtId="0" fontId="18" fillId="0" borderId="0" xfId="0" applyFont="1"/>
    <xf numFmtId="2" fontId="4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4" xfId="0" applyFont="1" applyBorder="1"/>
    <xf numFmtId="0" fontId="4" fillId="0" borderId="5" xfId="0" applyFont="1" applyBorder="1"/>
    <xf numFmtId="49" fontId="4" fillId="0" borderId="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4" fillId="4" borderId="9" xfId="0" applyFont="1" applyFill="1" applyBorder="1" applyAlignment="1">
      <alignment horizontal="right" vertical="center"/>
    </xf>
    <xf numFmtId="0" fontId="4" fillId="4" borderId="7" xfId="0" applyFont="1" applyFill="1" applyBorder="1"/>
    <xf numFmtId="0" fontId="4" fillId="4" borderId="9" xfId="0" applyFont="1" applyFill="1" applyBorder="1"/>
    <xf numFmtId="0" fontId="16" fillId="0" borderId="0" xfId="0" applyFont="1" applyAlignment="1">
      <alignment horizontal="left" vertical="center"/>
    </xf>
    <xf numFmtId="166" fontId="7" fillId="0" borderId="0" xfId="0" applyNumberFormat="1" applyFont="1" applyAlignment="1">
      <alignment vertical="center"/>
    </xf>
    <xf numFmtId="3" fontId="4" fillId="4" borderId="2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4" fillId="4" borderId="8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4" borderId="9" xfId="0" applyNumberFormat="1" applyFont="1" applyFill="1" applyBorder="1" applyAlignment="1">
      <alignment horizontal="right"/>
    </xf>
    <xf numFmtId="167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4" borderId="5" xfId="0" applyFont="1" applyFill="1" applyBorder="1"/>
    <xf numFmtId="0" fontId="4" fillId="4" borderId="2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0" fontId="4" fillId="0" borderId="4" xfId="0" applyFont="1" applyFill="1" applyBorder="1"/>
    <xf numFmtId="0" fontId="4" fillId="0" borderId="5" xfId="0" applyFont="1" applyFill="1" applyBorder="1"/>
    <xf numFmtId="0" fontId="4" fillId="4" borderId="3" xfId="0" applyFont="1" applyFill="1" applyBorder="1"/>
    <xf numFmtId="1" fontId="4" fillId="4" borderId="4" xfId="0" applyNumberFormat="1" applyFont="1" applyFill="1" applyBorder="1"/>
    <xf numFmtId="1" fontId="4" fillId="4" borderId="5" xfId="0" applyNumberFormat="1" applyFont="1" applyFill="1" applyBorder="1"/>
    <xf numFmtId="0" fontId="4" fillId="4" borderId="12" xfId="0" applyFont="1" applyFill="1" applyBorder="1"/>
    <xf numFmtId="1" fontId="4" fillId="4" borderId="0" xfId="0" applyNumberFormat="1" applyFont="1" applyFill="1" applyBorder="1"/>
    <xf numFmtId="1" fontId="4" fillId="4" borderId="7" xfId="0" applyNumberFormat="1" applyFont="1" applyFill="1" applyBorder="1"/>
    <xf numFmtId="165" fontId="4" fillId="4" borderId="11" xfId="0" applyNumberFormat="1" applyFont="1" applyFill="1" applyBorder="1"/>
    <xf numFmtId="1" fontId="4" fillId="4" borderId="1" xfId="0" applyNumberFormat="1" applyFont="1" applyFill="1" applyBorder="1"/>
    <xf numFmtId="1" fontId="4" fillId="4" borderId="9" xfId="0" applyNumberFormat="1" applyFont="1" applyFill="1" applyBorder="1"/>
    <xf numFmtId="4" fontId="4" fillId="0" borderId="0" xfId="0" applyNumberFormat="1" applyFont="1"/>
    <xf numFmtId="0" fontId="4" fillId="0" borderId="0" xfId="0" applyFont="1" applyAlignment="1">
      <alignment horizontal="center" vertical="center"/>
    </xf>
    <xf numFmtId="166" fontId="4" fillId="0" borderId="0" xfId="0" applyNumberFormat="1" applyFont="1"/>
    <xf numFmtId="164" fontId="4" fillId="0" borderId="0" xfId="0" applyNumberFormat="1" applyFont="1"/>
    <xf numFmtId="0" fontId="14" fillId="0" borderId="3" xfId="0" applyFont="1" applyBorder="1"/>
    <xf numFmtId="4" fontId="14" fillId="6" borderId="3" xfId="0" applyNumberFormat="1" applyFont="1" applyFill="1" applyBorder="1"/>
    <xf numFmtId="4" fontId="14" fillId="6" borderId="12" xfId="0" applyNumberFormat="1" applyFont="1" applyFill="1" applyBorder="1"/>
    <xf numFmtId="4" fontId="14" fillId="6" borderId="11" xfId="0" applyNumberFormat="1" applyFont="1" applyFill="1" applyBorder="1"/>
    <xf numFmtId="0" fontId="22" fillId="3" borderId="0" xfId="0" applyNumberFormat="1" applyFont="1" applyFill="1" applyAlignment="1">
      <alignment horizontal="center" vertical="center"/>
    </xf>
    <xf numFmtId="0" fontId="4" fillId="4" borderId="11" xfId="0" applyFont="1" applyFill="1" applyBorder="1"/>
    <xf numFmtId="0" fontId="23" fillId="0" borderId="3" xfId="0" applyFont="1" applyBorder="1"/>
    <xf numFmtId="0" fontId="14" fillId="5" borderId="12" xfId="0" applyFont="1" applyFill="1" applyBorder="1"/>
    <xf numFmtId="0" fontId="14" fillId="5" borderId="11" xfId="0" applyFont="1" applyFill="1" applyBorder="1"/>
    <xf numFmtId="0" fontId="14" fillId="5" borderId="3" xfId="0" applyFont="1" applyFill="1" applyBorder="1"/>
    <xf numFmtId="0" fontId="11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2" fillId="3" borderId="0" xfId="0" applyNumberFormat="1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AF3EA"/>
      <color rgb="FFF8EDE0"/>
      <color rgb="FFF6E6D4"/>
      <color rgb="FFF4F2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14</xdr:col>
      <xdr:colOff>0</xdr:colOff>
      <xdr:row>8</xdr:row>
      <xdr:rowOff>0</xdr:rowOff>
    </xdr:to>
    <xdr:cxnSp macro="">
      <xdr:nvCxnSpPr>
        <xdr:cNvPr id="2" name="Straight Connector 1"/>
        <xdr:cNvCxnSpPr/>
      </xdr:nvCxnSpPr>
      <xdr:spPr>
        <a:xfrm>
          <a:off x="1304925" y="1162050"/>
          <a:ext cx="5619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cxnSp macro="">
      <xdr:nvCxnSpPr>
        <xdr:cNvPr id="3" name="Straight Connector 2"/>
        <xdr:cNvCxnSpPr/>
      </xdr:nvCxnSpPr>
      <xdr:spPr>
        <a:xfrm>
          <a:off x="1304925" y="2447925"/>
          <a:ext cx="5619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35</xdr:row>
      <xdr:rowOff>0</xdr:rowOff>
    </xdr:to>
    <xdr:cxnSp macro="">
      <xdr:nvCxnSpPr>
        <xdr:cNvPr id="4" name="Straight Connector 3"/>
        <xdr:cNvCxnSpPr/>
      </xdr:nvCxnSpPr>
      <xdr:spPr>
        <a:xfrm>
          <a:off x="1304925" y="1162050"/>
          <a:ext cx="0" cy="3867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35</xdr:row>
      <xdr:rowOff>0</xdr:rowOff>
    </xdr:to>
    <xdr:cxnSp macro="">
      <xdr:nvCxnSpPr>
        <xdr:cNvPr id="5" name="Straight Connector 4"/>
        <xdr:cNvCxnSpPr/>
      </xdr:nvCxnSpPr>
      <xdr:spPr>
        <a:xfrm>
          <a:off x="6924675" y="1162050"/>
          <a:ext cx="0" cy="3867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35</xdr:row>
      <xdr:rowOff>0</xdr:rowOff>
    </xdr:to>
    <xdr:cxnSp macro="">
      <xdr:nvCxnSpPr>
        <xdr:cNvPr id="6" name="Straight Connector 5"/>
        <xdr:cNvCxnSpPr/>
      </xdr:nvCxnSpPr>
      <xdr:spPr>
        <a:xfrm>
          <a:off x="2781300" y="2447925"/>
          <a:ext cx="0" cy="25812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35</xdr:row>
      <xdr:rowOff>0</xdr:rowOff>
    </xdr:to>
    <xdr:cxnSp macro="">
      <xdr:nvCxnSpPr>
        <xdr:cNvPr id="7" name="Straight Connector 6"/>
        <xdr:cNvCxnSpPr/>
      </xdr:nvCxnSpPr>
      <xdr:spPr>
        <a:xfrm>
          <a:off x="5448300" y="2447925"/>
          <a:ext cx="0" cy="25812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7</xdr:col>
      <xdr:colOff>0</xdr:colOff>
      <xdr:row>35</xdr:row>
      <xdr:rowOff>0</xdr:rowOff>
    </xdr:to>
    <xdr:cxnSp macro="">
      <xdr:nvCxnSpPr>
        <xdr:cNvPr id="8" name="Straight Connector 7"/>
        <xdr:cNvCxnSpPr/>
      </xdr:nvCxnSpPr>
      <xdr:spPr>
        <a:xfrm>
          <a:off x="1304925" y="5029200"/>
          <a:ext cx="14763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0</xdr:rowOff>
    </xdr:from>
    <xdr:to>
      <xdr:col>14</xdr:col>
      <xdr:colOff>0</xdr:colOff>
      <xdr:row>35</xdr:row>
      <xdr:rowOff>0</xdr:rowOff>
    </xdr:to>
    <xdr:cxnSp macro="">
      <xdr:nvCxnSpPr>
        <xdr:cNvPr id="9" name="Straight Connector 8"/>
        <xdr:cNvCxnSpPr/>
      </xdr:nvCxnSpPr>
      <xdr:spPr>
        <a:xfrm>
          <a:off x="5448300" y="5029200"/>
          <a:ext cx="14763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0" name="Straight Arrow Connector 9"/>
        <xdr:cNvCxnSpPr/>
      </xdr:nvCxnSpPr>
      <xdr:spPr>
        <a:xfrm>
          <a:off x="466725" y="1162050"/>
          <a:ext cx="609600" cy="0"/>
        </a:xfrm>
        <a:prstGeom prst="straightConnector1">
          <a:avLst/>
        </a:prstGeom>
        <a:ln w="15875">
          <a:solidFill>
            <a:srgbClr val="24451B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16</xdr:row>
      <xdr:rowOff>0</xdr:rowOff>
    </xdr:to>
    <xdr:cxnSp macro="">
      <xdr:nvCxnSpPr>
        <xdr:cNvPr id="11" name="Straight Arrow Connector 10"/>
        <xdr:cNvCxnSpPr/>
      </xdr:nvCxnSpPr>
      <xdr:spPr>
        <a:xfrm>
          <a:off x="1685925" y="2305050"/>
          <a:ext cx="714375" cy="0"/>
        </a:xfrm>
        <a:prstGeom prst="straightConnector1">
          <a:avLst/>
        </a:prstGeom>
        <a:ln w="15875">
          <a:solidFill>
            <a:srgbClr val="24451B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0</xdr:rowOff>
    </xdr:to>
    <xdr:cxnSp macro="">
      <xdr:nvCxnSpPr>
        <xdr:cNvPr id="12" name="Straight Arrow Connector 11"/>
        <xdr:cNvCxnSpPr/>
      </xdr:nvCxnSpPr>
      <xdr:spPr>
        <a:xfrm>
          <a:off x="5829300" y="2305050"/>
          <a:ext cx="714375" cy="0"/>
        </a:xfrm>
        <a:prstGeom prst="straightConnector1">
          <a:avLst/>
        </a:prstGeom>
        <a:ln w="15875">
          <a:solidFill>
            <a:srgbClr val="24451B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380999</xdr:colOff>
      <xdr:row>34</xdr:row>
      <xdr:rowOff>0</xdr:rowOff>
    </xdr:from>
    <xdr:to>
      <xdr:col>6</xdr:col>
      <xdr:colOff>0</xdr:colOff>
      <xdr:row>34</xdr:row>
      <xdr:rowOff>0</xdr:rowOff>
    </xdr:to>
    <xdr:cxnSp macro="">
      <xdr:nvCxnSpPr>
        <xdr:cNvPr id="13" name="Straight Arrow Connector 12"/>
        <xdr:cNvCxnSpPr/>
      </xdr:nvCxnSpPr>
      <xdr:spPr>
        <a:xfrm flipH="1">
          <a:off x="1685924" y="4876800"/>
          <a:ext cx="714376" cy="0"/>
        </a:xfrm>
        <a:prstGeom prst="straightConnector1">
          <a:avLst/>
        </a:prstGeom>
        <a:ln w="12700">
          <a:solidFill>
            <a:srgbClr val="24451B"/>
          </a:solidFill>
          <a:headEnd type="none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13</xdr:col>
      <xdr:colOff>0</xdr:colOff>
      <xdr:row>34</xdr:row>
      <xdr:rowOff>0</xdr:rowOff>
    </xdr:to>
    <xdr:cxnSp macro="">
      <xdr:nvCxnSpPr>
        <xdr:cNvPr id="14" name="Straight Arrow Connector 13"/>
        <xdr:cNvCxnSpPr/>
      </xdr:nvCxnSpPr>
      <xdr:spPr>
        <a:xfrm flipH="1">
          <a:off x="5829300" y="4876800"/>
          <a:ext cx="714375" cy="0"/>
        </a:xfrm>
        <a:prstGeom prst="straightConnector1">
          <a:avLst/>
        </a:prstGeom>
        <a:ln w="12700">
          <a:solidFill>
            <a:srgbClr val="24451B"/>
          </a:solidFill>
          <a:headEnd type="none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0</xdr:rowOff>
    </xdr:to>
    <xdr:cxnSp macro="">
      <xdr:nvCxnSpPr>
        <xdr:cNvPr id="15" name="Straight Arrow Connector 14"/>
        <xdr:cNvCxnSpPr/>
      </xdr:nvCxnSpPr>
      <xdr:spPr>
        <a:xfrm>
          <a:off x="5829300" y="2876550"/>
          <a:ext cx="714375" cy="0"/>
        </a:xfrm>
        <a:prstGeom prst="straightConnector1">
          <a:avLst/>
        </a:prstGeom>
        <a:ln w="12700">
          <a:solidFill>
            <a:srgbClr val="24451B"/>
          </a:solidFill>
          <a:headEnd type="none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16" name="Straight Arrow Connector 15"/>
        <xdr:cNvCxnSpPr/>
      </xdr:nvCxnSpPr>
      <xdr:spPr>
        <a:xfrm>
          <a:off x="1685925" y="2876550"/>
          <a:ext cx="714375" cy="0"/>
        </a:xfrm>
        <a:prstGeom prst="straightConnector1">
          <a:avLst/>
        </a:prstGeom>
        <a:ln w="12700">
          <a:solidFill>
            <a:srgbClr val="24451B"/>
          </a:solidFill>
          <a:headEnd type="none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17</xdr:col>
      <xdr:colOff>0</xdr:colOff>
      <xdr:row>8</xdr:row>
      <xdr:rowOff>0</xdr:rowOff>
    </xdr:to>
    <xdr:cxnSp macro="">
      <xdr:nvCxnSpPr>
        <xdr:cNvPr id="17" name="Straight Connector 16"/>
        <xdr:cNvCxnSpPr/>
      </xdr:nvCxnSpPr>
      <xdr:spPr>
        <a:xfrm>
          <a:off x="7096125" y="1162050"/>
          <a:ext cx="628650" cy="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cxnSp macro="">
      <xdr:nvCxnSpPr>
        <xdr:cNvPr id="18" name="Straight Connector 17"/>
        <xdr:cNvCxnSpPr/>
      </xdr:nvCxnSpPr>
      <xdr:spPr>
        <a:xfrm>
          <a:off x="7096125" y="5029200"/>
          <a:ext cx="628650" cy="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0</xdr:rowOff>
    </xdr:from>
    <xdr:to>
      <xdr:col>16</xdr:col>
      <xdr:colOff>0</xdr:colOff>
      <xdr:row>17</xdr:row>
      <xdr:rowOff>0</xdr:rowOff>
    </xdr:to>
    <xdr:cxnSp macro="">
      <xdr:nvCxnSpPr>
        <xdr:cNvPr id="19" name="Straight Connector 18"/>
        <xdr:cNvCxnSpPr/>
      </xdr:nvCxnSpPr>
      <xdr:spPr>
        <a:xfrm>
          <a:off x="7096125" y="2447925"/>
          <a:ext cx="314325" cy="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25</xdr:row>
      <xdr:rowOff>0</xdr:rowOff>
    </xdr:to>
    <xdr:cxnSp macro="">
      <xdr:nvCxnSpPr>
        <xdr:cNvPr id="20" name="Straight Arrow Connector 19"/>
        <xdr:cNvCxnSpPr/>
      </xdr:nvCxnSpPr>
      <xdr:spPr>
        <a:xfrm flipV="1">
          <a:off x="7410450" y="2447925"/>
          <a:ext cx="0" cy="1143000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11</xdr:row>
      <xdr:rowOff>0</xdr:rowOff>
    </xdr:to>
    <xdr:cxnSp macro="">
      <xdr:nvCxnSpPr>
        <xdr:cNvPr id="21" name="Straight Arrow Connector 20"/>
        <xdr:cNvCxnSpPr/>
      </xdr:nvCxnSpPr>
      <xdr:spPr>
        <a:xfrm flipV="1">
          <a:off x="7410450" y="1162050"/>
          <a:ext cx="0" cy="428625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0</xdr:colOff>
      <xdr:row>17</xdr:row>
      <xdr:rowOff>0</xdr:rowOff>
    </xdr:to>
    <xdr:cxnSp macro="">
      <xdr:nvCxnSpPr>
        <xdr:cNvPr id="22" name="Straight Arrow Connector 21"/>
        <xdr:cNvCxnSpPr/>
      </xdr:nvCxnSpPr>
      <xdr:spPr>
        <a:xfrm>
          <a:off x="7410450" y="1733550"/>
          <a:ext cx="0" cy="714375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35</xdr:row>
      <xdr:rowOff>0</xdr:rowOff>
    </xdr:to>
    <xdr:cxnSp macro="">
      <xdr:nvCxnSpPr>
        <xdr:cNvPr id="23" name="Straight Arrow Connector 22"/>
        <xdr:cNvCxnSpPr/>
      </xdr:nvCxnSpPr>
      <xdr:spPr>
        <a:xfrm>
          <a:off x="7410450" y="3733800"/>
          <a:ext cx="0" cy="1295400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21</xdr:row>
      <xdr:rowOff>0</xdr:rowOff>
    </xdr:to>
    <xdr:cxnSp macro="">
      <xdr:nvCxnSpPr>
        <xdr:cNvPr id="24" name="Straight Arrow Connector 23"/>
        <xdr:cNvCxnSpPr/>
      </xdr:nvCxnSpPr>
      <xdr:spPr>
        <a:xfrm flipV="1">
          <a:off x="7724775" y="1162050"/>
          <a:ext cx="0" cy="1857375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22</xdr:row>
      <xdr:rowOff>7620</xdr:rowOff>
    </xdr:from>
    <xdr:to>
      <xdr:col>17</xdr:col>
      <xdr:colOff>0</xdr:colOff>
      <xdr:row>35</xdr:row>
      <xdr:rowOff>0</xdr:rowOff>
    </xdr:to>
    <xdr:cxnSp macro="">
      <xdr:nvCxnSpPr>
        <xdr:cNvPr id="25" name="Straight Arrow Connector 24"/>
        <xdr:cNvCxnSpPr/>
      </xdr:nvCxnSpPr>
      <xdr:spPr>
        <a:xfrm>
          <a:off x="7724775" y="3169920"/>
          <a:ext cx="0" cy="1859280"/>
        </a:xfrm>
        <a:prstGeom prst="straightConnector1">
          <a:avLst/>
        </a:prstGeom>
        <a:ln w="9525">
          <a:solidFill>
            <a:srgbClr val="24451B"/>
          </a:solidFill>
          <a:headEnd type="none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2</xdr:colOff>
      <xdr:row>25</xdr:row>
      <xdr:rowOff>121919</xdr:rowOff>
    </xdr:from>
    <xdr:ext cx="195568" cy="890264"/>
    <xdr:sp macro="" textlink="">
      <xdr:nvSpPr>
        <xdr:cNvPr id="26" name="TextBox 25"/>
        <xdr:cNvSpPr txBox="1"/>
      </xdr:nvSpPr>
      <xdr:spPr>
        <a:xfrm rot="16200000">
          <a:off x="7377429" y="4060192"/>
          <a:ext cx="890264" cy="195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Stud Wall Height</a:t>
          </a:r>
        </a:p>
      </xdr:txBody>
    </xdr:sp>
    <xdr:clientData/>
  </xdr:oneCellAnchor>
  <xdr:oneCellAnchor>
    <xdr:from>
      <xdr:col>15</xdr:col>
      <xdr:colOff>111788</xdr:colOff>
      <xdr:row>27</xdr:row>
      <xdr:rowOff>0</xdr:rowOff>
    </xdr:from>
    <xdr:ext cx="213398" cy="906780"/>
    <xdr:sp macro="" textlink="">
      <xdr:nvSpPr>
        <xdr:cNvPr id="27" name="TextBox 26"/>
        <xdr:cNvSpPr txBox="1"/>
      </xdr:nvSpPr>
      <xdr:spPr>
        <a:xfrm rot="16200000">
          <a:off x="6861222" y="4223366"/>
          <a:ext cx="906780" cy="213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Shear Panel Hgt.</a:t>
          </a:r>
        </a:p>
      </xdr:txBody>
    </xdr:sp>
    <xdr:clientData/>
  </xdr:oneCellAnchor>
  <xdr:oneCellAnchor>
    <xdr:from>
      <xdr:col>15</xdr:col>
      <xdr:colOff>111788</xdr:colOff>
      <xdr:row>12</xdr:row>
      <xdr:rowOff>0</xdr:rowOff>
    </xdr:from>
    <xdr:ext cx="195568" cy="868680"/>
    <xdr:sp macro="" textlink="">
      <xdr:nvSpPr>
        <xdr:cNvPr id="28" name="TextBox 27"/>
        <xdr:cNvSpPr txBox="1"/>
      </xdr:nvSpPr>
      <xdr:spPr>
        <a:xfrm rot="16200000">
          <a:off x="6871357" y="2070106"/>
          <a:ext cx="868680" cy="195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Pony Wall Hgt</a:t>
          </a: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oneCellAnchor>
  <xdr:twoCellAnchor>
    <xdr:from>
      <xdr:col>8</xdr:col>
      <xdr:colOff>0</xdr:colOff>
      <xdr:row>11</xdr:row>
      <xdr:rowOff>0</xdr:rowOff>
    </xdr:from>
    <xdr:to>
      <xdr:col>10</xdr:col>
      <xdr:colOff>0</xdr:colOff>
      <xdr:row>11</xdr:row>
      <xdr:rowOff>0</xdr:rowOff>
    </xdr:to>
    <xdr:cxnSp macro="">
      <xdr:nvCxnSpPr>
        <xdr:cNvPr id="29" name="Straight Arrow Connector 28"/>
        <xdr:cNvCxnSpPr/>
      </xdr:nvCxnSpPr>
      <xdr:spPr>
        <a:xfrm>
          <a:off x="3448050" y="1590675"/>
          <a:ext cx="1333500" cy="0"/>
        </a:xfrm>
        <a:prstGeom prst="straightConnector1">
          <a:avLst/>
        </a:prstGeom>
        <a:ln w="12700">
          <a:solidFill>
            <a:srgbClr val="24451B"/>
          </a:solidFill>
          <a:headEnd type="none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0</xdr:rowOff>
    </xdr:from>
    <xdr:to>
      <xdr:col>7</xdr:col>
      <xdr:colOff>0</xdr:colOff>
      <xdr:row>39</xdr:row>
      <xdr:rowOff>0</xdr:rowOff>
    </xdr:to>
    <xdr:cxnSp macro="">
      <xdr:nvCxnSpPr>
        <xdr:cNvPr id="30" name="Straight Arrow Connector 29"/>
        <xdr:cNvCxnSpPr/>
      </xdr:nvCxnSpPr>
      <xdr:spPr>
        <a:xfrm flipH="1">
          <a:off x="1304925" y="5600700"/>
          <a:ext cx="1476375" cy="0"/>
        </a:xfrm>
        <a:prstGeom prst="straightConnector1">
          <a:avLst/>
        </a:prstGeom>
        <a:ln w="9525">
          <a:solidFill>
            <a:srgbClr val="24451B"/>
          </a:solidFill>
          <a:headEnd type="triangle" w="sm" len="lg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40</xdr:row>
      <xdr:rowOff>0</xdr:rowOff>
    </xdr:to>
    <xdr:cxnSp macro="">
      <xdr:nvCxnSpPr>
        <xdr:cNvPr id="31" name="Straight Connector 30"/>
        <xdr:cNvCxnSpPr/>
      </xdr:nvCxnSpPr>
      <xdr:spPr>
        <a:xfrm>
          <a:off x="1304925" y="5172075"/>
          <a:ext cx="0" cy="57150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40</xdr:row>
      <xdr:rowOff>0</xdr:rowOff>
    </xdr:to>
    <xdr:cxnSp macro="">
      <xdr:nvCxnSpPr>
        <xdr:cNvPr id="32" name="Straight Connector 31"/>
        <xdr:cNvCxnSpPr/>
      </xdr:nvCxnSpPr>
      <xdr:spPr>
        <a:xfrm>
          <a:off x="2781300" y="5172075"/>
          <a:ext cx="0" cy="57150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40</xdr:row>
      <xdr:rowOff>0</xdr:rowOff>
    </xdr:to>
    <xdr:cxnSp macro="">
      <xdr:nvCxnSpPr>
        <xdr:cNvPr id="33" name="Straight Connector 32"/>
        <xdr:cNvCxnSpPr/>
      </xdr:nvCxnSpPr>
      <xdr:spPr>
        <a:xfrm>
          <a:off x="5448300" y="5172075"/>
          <a:ext cx="0" cy="57150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0</xdr:rowOff>
    </xdr:from>
    <xdr:to>
      <xdr:col>14</xdr:col>
      <xdr:colOff>0</xdr:colOff>
      <xdr:row>40</xdr:row>
      <xdr:rowOff>0</xdr:rowOff>
    </xdr:to>
    <xdr:cxnSp macro="">
      <xdr:nvCxnSpPr>
        <xdr:cNvPr id="34" name="Straight Connector 33"/>
        <xdr:cNvCxnSpPr/>
      </xdr:nvCxnSpPr>
      <xdr:spPr>
        <a:xfrm>
          <a:off x="6924675" y="5172075"/>
          <a:ext cx="0" cy="571500"/>
        </a:xfrm>
        <a:prstGeom prst="line">
          <a:avLst/>
        </a:prstGeom>
        <a:ln w="9525">
          <a:solidFill>
            <a:srgbClr val="24451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0</xdr:rowOff>
    </xdr:from>
    <xdr:to>
      <xdr:col>11</xdr:col>
      <xdr:colOff>0</xdr:colOff>
      <xdr:row>39</xdr:row>
      <xdr:rowOff>0</xdr:rowOff>
    </xdr:to>
    <xdr:cxnSp macro="">
      <xdr:nvCxnSpPr>
        <xdr:cNvPr id="35" name="Straight Arrow Connector 34"/>
        <xdr:cNvCxnSpPr/>
      </xdr:nvCxnSpPr>
      <xdr:spPr>
        <a:xfrm flipH="1">
          <a:off x="2781300" y="5600700"/>
          <a:ext cx="2667000" cy="0"/>
        </a:xfrm>
        <a:prstGeom prst="straightConnector1">
          <a:avLst/>
        </a:prstGeom>
        <a:ln w="9525">
          <a:solidFill>
            <a:srgbClr val="24451B"/>
          </a:solidFill>
          <a:headEnd type="triangle" w="sm" len="lg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0</xdr:colOff>
      <xdr:row>39</xdr:row>
      <xdr:rowOff>0</xdr:rowOff>
    </xdr:to>
    <xdr:cxnSp macro="">
      <xdr:nvCxnSpPr>
        <xdr:cNvPr id="36" name="Straight Arrow Connector 35"/>
        <xdr:cNvCxnSpPr/>
      </xdr:nvCxnSpPr>
      <xdr:spPr>
        <a:xfrm flipH="1">
          <a:off x="5448300" y="5600700"/>
          <a:ext cx="1476375" cy="0"/>
        </a:xfrm>
        <a:prstGeom prst="straightConnector1">
          <a:avLst/>
        </a:prstGeom>
        <a:ln w="9525">
          <a:solidFill>
            <a:srgbClr val="24451B"/>
          </a:solidFill>
          <a:headEnd type="triangle" w="sm" len="lg"/>
          <a:tailEnd type="triangle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45</xdr:row>
      <xdr:rowOff>0</xdr:rowOff>
    </xdr:to>
    <xdr:cxnSp macro="">
      <xdr:nvCxnSpPr>
        <xdr:cNvPr id="37" name="Straight Connector 36"/>
        <xdr:cNvCxnSpPr/>
      </xdr:nvCxnSpPr>
      <xdr:spPr>
        <a:xfrm>
          <a:off x="1394460" y="5935980"/>
          <a:ext cx="0" cy="57912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39</xdr:row>
      <xdr:rowOff>53340</xdr:rowOff>
    </xdr:from>
    <xdr:ext cx="195566" cy="762000"/>
    <xdr:sp macro="" textlink="$X$9">
      <xdr:nvSpPr>
        <xdr:cNvPr id="38" name="TextBox 37"/>
        <xdr:cNvSpPr txBox="1"/>
      </xdr:nvSpPr>
      <xdr:spPr>
        <a:xfrm rot="16200000">
          <a:off x="1111243" y="598297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52E3682A-9BAF-41F1-AF29-B15CD1E4A5DA}" type="TxLink">
            <a:rPr lang="en-US" sz="800" b="0" i="0" u="none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pPr/>
            <a:t>5342 lbs</a:t>
          </a:fld>
          <a:endParaRPr lang="en-US" sz="7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0</xdr:colOff>
      <xdr:row>9</xdr:row>
      <xdr:rowOff>0</xdr:rowOff>
    </xdr:from>
    <xdr:to>
      <xdr:col>5</xdr:col>
      <xdr:colOff>0</xdr:colOff>
      <xdr:row>13</xdr:row>
      <xdr:rowOff>0</xdr:rowOff>
    </xdr:to>
    <xdr:cxnSp macro="">
      <xdr:nvCxnSpPr>
        <xdr:cNvPr id="39" name="Straight Connector 38"/>
        <xdr:cNvCxnSpPr/>
      </xdr:nvCxnSpPr>
      <xdr:spPr>
        <a:xfrm>
          <a:off x="1685925" y="1304925"/>
          <a:ext cx="0" cy="571500"/>
        </a:xfrm>
        <a:prstGeom prst="line">
          <a:avLst/>
        </a:prstGeom>
        <a:ln w="15875">
          <a:solidFill>
            <a:schemeClr val="accent2">
              <a:lumMod val="75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cxnSp macro="">
      <xdr:nvCxnSpPr>
        <xdr:cNvPr id="40" name="Straight Connector 39"/>
        <xdr:cNvCxnSpPr/>
      </xdr:nvCxnSpPr>
      <xdr:spPr>
        <a:xfrm>
          <a:off x="2842260" y="5935980"/>
          <a:ext cx="0" cy="57912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</xdr:row>
      <xdr:rowOff>0</xdr:rowOff>
    </xdr:from>
    <xdr:to>
      <xdr:col>11</xdr:col>
      <xdr:colOff>0</xdr:colOff>
      <xdr:row>45</xdr:row>
      <xdr:rowOff>0</xdr:rowOff>
    </xdr:to>
    <xdr:cxnSp macro="">
      <xdr:nvCxnSpPr>
        <xdr:cNvPr id="41" name="Straight Connector 40"/>
        <xdr:cNvCxnSpPr/>
      </xdr:nvCxnSpPr>
      <xdr:spPr>
        <a:xfrm>
          <a:off x="5539740" y="5935980"/>
          <a:ext cx="0" cy="57912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</xdr:row>
      <xdr:rowOff>0</xdr:rowOff>
    </xdr:from>
    <xdr:to>
      <xdr:col>14</xdr:col>
      <xdr:colOff>0</xdr:colOff>
      <xdr:row>45</xdr:row>
      <xdr:rowOff>0</xdr:rowOff>
    </xdr:to>
    <xdr:cxnSp macro="">
      <xdr:nvCxnSpPr>
        <xdr:cNvPr id="42" name="Straight Connector 41"/>
        <xdr:cNvCxnSpPr/>
      </xdr:nvCxnSpPr>
      <xdr:spPr>
        <a:xfrm>
          <a:off x="6926580" y="5935980"/>
          <a:ext cx="0" cy="57912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39</xdr:row>
      <xdr:rowOff>53340</xdr:rowOff>
    </xdr:from>
    <xdr:ext cx="195566" cy="762000"/>
    <xdr:sp macro="" textlink="$X$10">
      <xdr:nvSpPr>
        <xdr:cNvPr id="43" name="TextBox 42"/>
        <xdr:cNvSpPr txBox="1"/>
      </xdr:nvSpPr>
      <xdr:spPr>
        <a:xfrm rot="16200000">
          <a:off x="2559043" y="598297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1E8C0449-50B4-4F83-A0AB-3C6720C74CBB}" type="TxLink">
            <a:rPr lang="en-US" sz="800" b="0" i="0" u="none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pPr/>
            <a:t>4725 lbs</a:t>
          </a:fld>
          <a:endParaRPr lang="en-US" sz="7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39</xdr:row>
      <xdr:rowOff>60960</xdr:rowOff>
    </xdr:from>
    <xdr:ext cx="195566" cy="762000"/>
    <xdr:sp macro="" textlink="$X$15">
      <xdr:nvSpPr>
        <xdr:cNvPr id="44" name="TextBox 43"/>
        <xdr:cNvSpPr txBox="1"/>
      </xdr:nvSpPr>
      <xdr:spPr>
        <a:xfrm rot="16200000">
          <a:off x="5256523" y="599059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0C4A396-C158-4F25-99E9-65FDCF46D39D}" type="TxLink">
            <a:rPr lang="en-US" sz="800" b="0" i="0" u="none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pPr/>
            <a:t>4725 lbs</a:t>
          </a:fld>
          <a:endParaRPr lang="en-US" sz="7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0</xdr:colOff>
      <xdr:row>39</xdr:row>
      <xdr:rowOff>60960</xdr:rowOff>
    </xdr:from>
    <xdr:ext cx="195566" cy="762000"/>
    <xdr:sp macro="" textlink="$X$16">
      <xdr:nvSpPr>
        <xdr:cNvPr id="45" name="TextBox 44"/>
        <xdr:cNvSpPr txBox="1"/>
      </xdr:nvSpPr>
      <xdr:spPr>
        <a:xfrm rot="16200000">
          <a:off x="6643363" y="599059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BC8A8A1F-330C-4DF0-82F9-D023D27B231C}" type="TxLink">
            <a:rPr lang="en-US" sz="800" b="0" i="0" u="none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pPr/>
            <a:t>5342 lbs</a:t>
          </a:fld>
          <a:endParaRPr lang="en-US" sz="7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0</xdr:colOff>
      <xdr:row>6</xdr:row>
      <xdr:rowOff>99060</xdr:rowOff>
    </xdr:from>
    <xdr:ext cx="195566" cy="883920"/>
    <xdr:sp macro="" textlink="$X$4">
      <xdr:nvSpPr>
        <xdr:cNvPr id="46" name="TextBox 45"/>
        <xdr:cNvSpPr txBox="1"/>
      </xdr:nvSpPr>
      <xdr:spPr>
        <a:xfrm rot="16200000">
          <a:off x="1341748" y="1319537"/>
          <a:ext cx="88392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9F6BFB59-F39C-4083-A6B4-230240507E0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617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0</xdr:colOff>
      <xdr:row>7</xdr:row>
      <xdr:rowOff>68580</xdr:rowOff>
    </xdr:from>
    <xdr:ext cx="195566" cy="762000"/>
    <xdr:sp macro="" textlink="$X$4">
      <xdr:nvSpPr>
        <xdr:cNvPr id="47" name="TextBox 46"/>
        <xdr:cNvSpPr txBox="1"/>
      </xdr:nvSpPr>
      <xdr:spPr>
        <a:xfrm rot="16200000">
          <a:off x="6260458" y="1370972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3BC52B0-0ADC-4279-8BF6-3FDD97EDF5F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617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13</xdr:col>
      <xdr:colOff>0</xdr:colOff>
      <xdr:row>9</xdr:row>
      <xdr:rowOff>0</xdr:rowOff>
    </xdr:from>
    <xdr:to>
      <xdr:col>13</xdr:col>
      <xdr:colOff>0</xdr:colOff>
      <xdr:row>13</xdr:row>
      <xdr:rowOff>0</xdr:rowOff>
    </xdr:to>
    <xdr:cxnSp macro="">
      <xdr:nvCxnSpPr>
        <xdr:cNvPr id="48" name="Straight Connector 47"/>
        <xdr:cNvCxnSpPr/>
      </xdr:nvCxnSpPr>
      <xdr:spPr>
        <a:xfrm>
          <a:off x="6543675" y="1304925"/>
          <a:ext cx="0" cy="571500"/>
        </a:xfrm>
        <a:prstGeom prst="line">
          <a:avLst/>
        </a:prstGeom>
        <a:ln w="15875">
          <a:solidFill>
            <a:schemeClr val="accent2">
              <a:lumMod val="75000"/>
            </a:schemeClr>
          </a:solidFill>
          <a:headEnd type="stealth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289560</xdr:colOff>
      <xdr:row>63</xdr:row>
      <xdr:rowOff>76200</xdr:rowOff>
    </xdr:from>
    <xdr:to>
      <xdr:col>7</xdr:col>
      <xdr:colOff>552450</xdr:colOff>
      <xdr:row>63</xdr:row>
      <xdr:rowOff>76200</xdr:rowOff>
    </xdr:to>
    <xdr:cxnSp macro="">
      <xdr:nvCxnSpPr>
        <xdr:cNvPr id="49" name="Straight Arrow Connector 48"/>
        <xdr:cNvCxnSpPr/>
      </xdr:nvCxnSpPr>
      <xdr:spPr>
        <a:xfrm flipV="1">
          <a:off x="2506980" y="8717280"/>
          <a:ext cx="5753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289560</xdr:colOff>
      <xdr:row>68</xdr:row>
      <xdr:rowOff>76200</xdr:rowOff>
    </xdr:from>
    <xdr:to>
      <xdr:col>7</xdr:col>
      <xdr:colOff>552450</xdr:colOff>
      <xdr:row>68</xdr:row>
      <xdr:rowOff>76200</xdr:rowOff>
    </xdr:to>
    <xdr:cxnSp macro="">
      <xdr:nvCxnSpPr>
        <xdr:cNvPr id="54" name="Straight Arrow Connector 53"/>
        <xdr:cNvCxnSpPr/>
      </xdr:nvCxnSpPr>
      <xdr:spPr>
        <a:xfrm flipV="1">
          <a:off x="2506980" y="8717280"/>
          <a:ext cx="5753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289560</xdr:colOff>
      <xdr:row>72</xdr:row>
      <xdr:rowOff>76200</xdr:rowOff>
    </xdr:from>
    <xdr:to>
      <xdr:col>7</xdr:col>
      <xdr:colOff>552450</xdr:colOff>
      <xdr:row>72</xdr:row>
      <xdr:rowOff>76200</xdr:rowOff>
    </xdr:to>
    <xdr:cxnSp macro="">
      <xdr:nvCxnSpPr>
        <xdr:cNvPr id="55" name="Straight Arrow Connector 54"/>
        <xdr:cNvCxnSpPr/>
      </xdr:nvCxnSpPr>
      <xdr:spPr>
        <a:xfrm flipV="1">
          <a:off x="2506980" y="9403080"/>
          <a:ext cx="5753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86</xdr:row>
      <xdr:rowOff>76200</xdr:rowOff>
    </xdr:from>
    <xdr:to>
      <xdr:col>15</xdr:col>
      <xdr:colOff>169545</xdr:colOff>
      <xdr:row>86</xdr:row>
      <xdr:rowOff>76200</xdr:rowOff>
    </xdr:to>
    <xdr:cxnSp macro="">
      <xdr:nvCxnSpPr>
        <xdr:cNvPr id="56" name="Straight Arrow Connector 55"/>
        <xdr:cNvCxnSpPr/>
      </xdr:nvCxnSpPr>
      <xdr:spPr>
        <a:xfrm flipV="1">
          <a:off x="6713220" y="11871960"/>
          <a:ext cx="2609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129540</xdr:colOff>
      <xdr:row>97</xdr:row>
      <xdr:rowOff>76200</xdr:rowOff>
    </xdr:from>
    <xdr:to>
      <xdr:col>15</xdr:col>
      <xdr:colOff>154305</xdr:colOff>
      <xdr:row>97</xdr:row>
      <xdr:rowOff>76200</xdr:rowOff>
    </xdr:to>
    <xdr:cxnSp macro="">
      <xdr:nvCxnSpPr>
        <xdr:cNvPr id="57" name="Straight Arrow Connector 56"/>
        <xdr:cNvCxnSpPr/>
      </xdr:nvCxnSpPr>
      <xdr:spPr>
        <a:xfrm flipV="1">
          <a:off x="6697980" y="13380720"/>
          <a:ext cx="2609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90</xdr:row>
      <xdr:rowOff>76200</xdr:rowOff>
    </xdr:from>
    <xdr:to>
      <xdr:col>15</xdr:col>
      <xdr:colOff>169545</xdr:colOff>
      <xdr:row>90</xdr:row>
      <xdr:rowOff>76200</xdr:rowOff>
    </xdr:to>
    <xdr:cxnSp macro="">
      <xdr:nvCxnSpPr>
        <xdr:cNvPr id="58" name="Straight Arrow Connector 57"/>
        <xdr:cNvCxnSpPr/>
      </xdr:nvCxnSpPr>
      <xdr:spPr>
        <a:xfrm flipV="1">
          <a:off x="6713220" y="11871960"/>
          <a:ext cx="2609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106680</xdr:colOff>
      <xdr:row>39</xdr:row>
      <xdr:rowOff>60960</xdr:rowOff>
    </xdr:from>
    <xdr:ext cx="195566" cy="762000"/>
    <xdr:sp macro="" textlink="$AE$122">
      <xdr:nvSpPr>
        <xdr:cNvPr id="59" name="TextBox 58"/>
        <xdr:cNvSpPr txBox="1"/>
      </xdr:nvSpPr>
      <xdr:spPr>
        <a:xfrm rot="16200000">
          <a:off x="6079483" y="569341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CFA735F6-20BE-44D1-87D4-2EDAD89814A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2959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502920</xdr:colOff>
      <xdr:row>39</xdr:row>
      <xdr:rowOff>68580</xdr:rowOff>
    </xdr:from>
    <xdr:ext cx="195566" cy="762000"/>
    <xdr:sp macro="" textlink="$AE$121">
      <xdr:nvSpPr>
        <xdr:cNvPr id="60" name="TextBox 59"/>
        <xdr:cNvSpPr txBox="1"/>
      </xdr:nvSpPr>
      <xdr:spPr>
        <a:xfrm rot="16200000">
          <a:off x="4738363" y="570103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9A3E812E-1191-47EA-8D7C-251ABE451252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2342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76200</xdr:colOff>
      <xdr:row>39</xdr:row>
      <xdr:rowOff>60960</xdr:rowOff>
    </xdr:from>
    <xdr:ext cx="195566" cy="762000"/>
    <xdr:sp macro="" textlink="$AE$119">
      <xdr:nvSpPr>
        <xdr:cNvPr id="61" name="TextBox 60"/>
        <xdr:cNvSpPr txBox="1"/>
      </xdr:nvSpPr>
      <xdr:spPr>
        <a:xfrm rot="16200000">
          <a:off x="692143" y="569341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B5D942C3-CCF6-460C-BA5E-7AB56B5474A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2959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106680</xdr:colOff>
      <xdr:row>39</xdr:row>
      <xdr:rowOff>60960</xdr:rowOff>
    </xdr:from>
    <xdr:ext cx="195566" cy="762000"/>
    <xdr:sp macro="" textlink="$AE$120">
      <xdr:nvSpPr>
        <xdr:cNvPr id="62" name="TextBox 61"/>
        <xdr:cNvSpPr txBox="1"/>
      </xdr:nvSpPr>
      <xdr:spPr>
        <a:xfrm rot="16200000">
          <a:off x="2040883" y="5693417"/>
          <a:ext cx="76200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485FBFA-993B-44A0-8E6E-2DFA19483F46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2342 lbs</a:t>
          </a:fld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16</xdr:col>
      <xdr:colOff>312420</xdr:colOff>
      <xdr:row>66</xdr:row>
      <xdr:rowOff>68580</xdr:rowOff>
    </xdr:from>
    <xdr:to>
      <xdr:col>17</xdr:col>
      <xdr:colOff>169545</xdr:colOff>
      <xdr:row>66</xdr:row>
      <xdr:rowOff>68580</xdr:rowOff>
    </xdr:to>
    <xdr:cxnSp macro="">
      <xdr:nvCxnSpPr>
        <xdr:cNvPr id="63" name="Straight Arrow Connector 62"/>
        <xdr:cNvCxnSpPr/>
      </xdr:nvCxnSpPr>
      <xdr:spPr>
        <a:xfrm flipV="1">
          <a:off x="7467600" y="9121140"/>
          <a:ext cx="2609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312420</xdr:colOff>
      <xdr:row>62</xdr:row>
      <xdr:rowOff>68580</xdr:rowOff>
    </xdr:from>
    <xdr:to>
      <xdr:col>17</xdr:col>
      <xdr:colOff>169545</xdr:colOff>
      <xdr:row>62</xdr:row>
      <xdr:rowOff>68580</xdr:rowOff>
    </xdr:to>
    <xdr:cxnSp macro="">
      <xdr:nvCxnSpPr>
        <xdr:cNvPr id="64" name="Straight Arrow Connector 63"/>
        <xdr:cNvCxnSpPr/>
      </xdr:nvCxnSpPr>
      <xdr:spPr>
        <a:xfrm flipV="1">
          <a:off x="7467600" y="9121140"/>
          <a:ext cx="2609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tabSelected="1" zoomScale="125" zoomScaleNormal="125" workbookViewId="0">
      <selection activeCell="S18" sqref="S18"/>
    </sheetView>
  </sheetViews>
  <sheetFormatPr defaultRowHeight="15" x14ac:dyDescent="0.25"/>
  <cols>
    <col min="1" max="1" width="2.85546875" customWidth="1"/>
    <col min="2" max="2" width="3.28515625" customWidth="1"/>
    <col min="3" max="3" width="7.28515625" customWidth="1"/>
    <col min="4" max="4" width="4.28515625" customWidth="1"/>
    <col min="5" max="5" width="4.7109375" customWidth="1"/>
    <col min="6" max="6" width="10.7109375" customWidth="1"/>
    <col min="7" max="7" width="4.7109375" customWidth="1"/>
    <col min="8" max="8" width="8.85546875" customWidth="1"/>
    <col min="9" max="9" width="10" customWidth="1"/>
    <col min="10" max="10" width="10.85546875" customWidth="1"/>
    <col min="11" max="11" width="10.5703125" customWidth="1"/>
    <col min="12" max="12" width="4.7109375" customWidth="1"/>
    <col min="13" max="13" width="10.7109375" customWidth="1"/>
    <col min="14" max="14" width="4.7109375" customWidth="1"/>
    <col min="15" max="15" width="3.5703125" customWidth="1"/>
    <col min="16" max="16" width="5.28515625" customWidth="1"/>
    <col min="17" max="17" width="6" customWidth="1"/>
    <col min="18" max="18" width="9.42578125" customWidth="1"/>
    <col min="21" max="21" width="10.42578125" bestFit="1" customWidth="1"/>
  </cols>
  <sheetData>
    <row r="1" spans="1:29" ht="11.1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"/>
      <c r="AC1" s="1"/>
    </row>
    <row r="2" spans="1:29" ht="11.1" customHeight="1" x14ac:dyDescent="0.25">
      <c r="A2" s="13"/>
      <c r="B2" s="14" t="s">
        <v>0</v>
      </c>
      <c r="C2" s="14"/>
      <c r="D2" s="13"/>
      <c r="E2" s="13"/>
      <c r="F2" s="13"/>
      <c r="G2" s="15" t="s">
        <v>1</v>
      </c>
      <c r="H2" s="13"/>
      <c r="I2" s="2" t="s">
        <v>2</v>
      </c>
      <c r="J2" s="16">
        <v>800</v>
      </c>
      <c r="K2" s="17" t="s">
        <v>64</v>
      </c>
      <c r="L2" s="2" t="s">
        <v>4</v>
      </c>
      <c r="M2" s="16">
        <v>1800</v>
      </c>
      <c r="N2" s="17" t="s">
        <v>65</v>
      </c>
      <c r="O2" s="17"/>
      <c r="P2" s="17"/>
      <c r="Q2" s="18" t="s">
        <v>5</v>
      </c>
      <c r="R2" s="19" t="s">
        <v>6</v>
      </c>
      <c r="S2" s="13"/>
      <c r="T2" s="13"/>
      <c r="U2" s="13"/>
      <c r="V2" s="13"/>
      <c r="W2" s="13"/>
      <c r="X2" s="13"/>
      <c r="Y2" s="13"/>
      <c r="Z2" s="13"/>
      <c r="AA2" s="13"/>
      <c r="AB2" s="1"/>
      <c r="AC2" s="1"/>
    </row>
    <row r="3" spans="1:29" ht="11.1" customHeight="1" x14ac:dyDescent="0.25">
      <c r="A3" s="1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3"/>
      <c r="T3" s="17" t="s">
        <v>7</v>
      </c>
      <c r="U3" s="17"/>
      <c r="V3" s="20">
        <f>C7/K4</f>
        <v>154.28571164081637</v>
      </c>
      <c r="W3" s="17" t="s">
        <v>8</v>
      </c>
      <c r="X3" s="21" t="str">
        <f>CONCATENATE(ROUND(V3,1)," plf")</f>
        <v>154.3 plf</v>
      </c>
      <c r="Y3" s="17"/>
      <c r="Z3" s="17"/>
      <c r="AA3" s="13"/>
      <c r="AB3" s="1"/>
      <c r="AC3" s="1"/>
    </row>
    <row r="4" spans="1:29" ht="11.1" customHeight="1" x14ac:dyDescent="0.25">
      <c r="A4" s="13"/>
      <c r="B4" s="17" t="str">
        <f>IF(M2&gt;J2,"Wind Load Governs","Seismic Load Governs")</f>
        <v>Wind Load Governs</v>
      </c>
      <c r="C4" s="17"/>
      <c r="D4" s="17"/>
      <c r="E4" s="17"/>
      <c r="F4" s="17"/>
      <c r="G4" s="17"/>
      <c r="H4" s="17"/>
      <c r="I4" s="17"/>
      <c r="J4" s="2" t="s">
        <v>9</v>
      </c>
      <c r="K4" s="22">
        <f>F40+I40+M40</f>
        <v>11.666666866666667</v>
      </c>
      <c r="L4" s="17" t="s">
        <v>10</v>
      </c>
      <c r="M4" s="17"/>
      <c r="N4" s="17"/>
      <c r="O4" s="17"/>
      <c r="P4" s="17"/>
      <c r="Q4" s="17"/>
      <c r="R4" s="17"/>
      <c r="S4" s="13"/>
      <c r="T4" s="17" t="s">
        <v>11</v>
      </c>
      <c r="U4" s="17"/>
      <c r="V4" s="23">
        <f>V3*P12</f>
        <v>617.14284656326549</v>
      </c>
      <c r="W4" s="17" t="s">
        <v>3</v>
      </c>
      <c r="X4" s="21" t="str">
        <f>CONCATENATE(ROUND(V4,0)," lbs")</f>
        <v>617 lbs</v>
      </c>
      <c r="Y4" s="17"/>
      <c r="Z4" s="17"/>
      <c r="AA4" s="13"/>
      <c r="AB4" s="1"/>
      <c r="AC4" s="1"/>
    </row>
    <row r="5" spans="1:29" ht="11.1" customHeight="1" x14ac:dyDescent="0.25">
      <c r="A5" s="13"/>
      <c r="B5" s="17"/>
      <c r="C5" s="17"/>
      <c r="D5" s="17"/>
      <c r="E5" s="17"/>
      <c r="F5" s="17"/>
      <c r="G5" s="17"/>
      <c r="H5" s="17"/>
      <c r="I5" s="17"/>
      <c r="J5" s="2" t="s">
        <v>12</v>
      </c>
      <c r="K5" s="22">
        <f>MIN(V43:V44)+V47</f>
        <v>1.1046665239511895</v>
      </c>
      <c r="L5" s="17" t="s">
        <v>13</v>
      </c>
      <c r="M5" s="17"/>
      <c r="N5" s="17"/>
      <c r="O5" s="17"/>
      <c r="P5" s="17"/>
      <c r="Q5" s="17"/>
      <c r="R5" s="17"/>
      <c r="S5" s="13"/>
      <c r="T5" s="17"/>
      <c r="U5" s="17"/>
      <c r="V5" s="24"/>
      <c r="W5" s="17"/>
      <c r="X5" s="17"/>
      <c r="Y5" s="17"/>
      <c r="Z5" s="17"/>
      <c r="AA5" s="13"/>
      <c r="AB5" s="1"/>
      <c r="AC5" s="1"/>
    </row>
    <row r="6" spans="1:29" ht="11.1" customHeight="1" x14ac:dyDescent="0.25">
      <c r="A6" s="13"/>
      <c r="B6" s="17"/>
      <c r="C6" s="17"/>
      <c r="D6" s="17"/>
      <c r="E6" s="17"/>
      <c r="F6" s="17"/>
      <c r="G6" s="17"/>
      <c r="H6" s="17"/>
      <c r="I6" s="17"/>
      <c r="J6" s="2" t="s">
        <v>224</v>
      </c>
      <c r="K6" s="26">
        <f>AE126</f>
        <v>2528.5440743977269</v>
      </c>
      <c r="L6" s="17" t="s">
        <v>3</v>
      </c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7"/>
      <c r="Z6" s="17"/>
      <c r="AA6" s="13"/>
      <c r="AB6" s="1"/>
      <c r="AC6" s="1"/>
    </row>
    <row r="7" spans="1:29" ht="11.1" customHeight="1" x14ac:dyDescent="0.25">
      <c r="A7" s="13"/>
      <c r="B7" s="13"/>
      <c r="C7" s="25">
        <f>MAX(J2,M2)</f>
        <v>1800</v>
      </c>
      <c r="D7" s="17" t="s">
        <v>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3"/>
      <c r="T7" s="17" t="s">
        <v>14</v>
      </c>
      <c r="U7" s="17"/>
      <c r="V7" s="20">
        <f>V8/F40</f>
        <v>674.99994937500355</v>
      </c>
      <c r="W7" s="17" t="s">
        <v>8</v>
      </c>
      <c r="X7" s="21" t="str">
        <f>CONCATENATE(ROUND(V7,1)," plf")</f>
        <v>675 plf</v>
      </c>
      <c r="Y7" s="17"/>
      <c r="Z7" s="17"/>
      <c r="AA7" s="13"/>
      <c r="AB7" s="1"/>
      <c r="AC7" s="1"/>
    </row>
    <row r="8" spans="1:29" ht="11.1" customHeight="1" x14ac:dyDescent="0.25">
      <c r="A8" s="1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3"/>
      <c r="T8" s="17" t="s">
        <v>15</v>
      </c>
      <c r="U8" s="17"/>
      <c r="V8" s="26">
        <f>U36</f>
        <v>899.99999999999966</v>
      </c>
      <c r="W8" s="17" t="s">
        <v>3</v>
      </c>
      <c r="X8" s="23" t="str">
        <f>CONCATENATE(ROUND(V8,0)," lbs")</f>
        <v>900 lbs</v>
      </c>
      <c r="Y8" s="17"/>
      <c r="Z8" s="17"/>
      <c r="AA8" s="13"/>
      <c r="AB8" s="1"/>
      <c r="AC8" s="1"/>
    </row>
    <row r="9" spans="1:29" ht="11.1" customHeight="1" x14ac:dyDescent="0.25">
      <c r="A9" s="13"/>
      <c r="B9" s="17"/>
      <c r="C9" s="17"/>
      <c r="D9" s="17"/>
      <c r="E9" s="41"/>
      <c r="F9" s="41"/>
      <c r="G9" s="41"/>
      <c r="H9" s="41"/>
      <c r="I9" s="41"/>
      <c r="J9" s="41"/>
      <c r="K9" s="41"/>
      <c r="L9" s="41"/>
      <c r="M9" s="41"/>
      <c r="N9" s="41"/>
      <c r="O9" s="17"/>
      <c r="P9" s="17"/>
      <c r="Q9" s="17"/>
      <c r="R9" s="17"/>
      <c r="S9" s="13"/>
      <c r="T9" s="17" t="s">
        <v>16</v>
      </c>
      <c r="U9" s="17"/>
      <c r="V9" s="26">
        <f>V7*P26+V4</f>
        <v>5342.1424921882899</v>
      </c>
      <c r="W9" s="17" t="s">
        <v>3</v>
      </c>
      <c r="X9" s="23" t="str">
        <f>CONCATENATE(ROUND(V9,0)," lbs")</f>
        <v>5342 lbs</v>
      </c>
      <c r="Y9" s="17"/>
      <c r="Z9" s="17"/>
      <c r="AA9" s="13"/>
      <c r="AB9" s="1"/>
      <c r="AC9" s="1"/>
    </row>
    <row r="10" spans="1:29" ht="11.1" customHeight="1" x14ac:dyDescent="0.25">
      <c r="A10" s="13"/>
      <c r="B10" s="17"/>
      <c r="C10" s="17"/>
      <c r="D10" s="17"/>
      <c r="E10" s="41"/>
      <c r="F10" s="41"/>
      <c r="G10" s="41"/>
      <c r="H10" s="41"/>
      <c r="I10" s="42">
        <f>V3</f>
        <v>154.28571164081637</v>
      </c>
      <c r="J10" s="41" t="s">
        <v>8</v>
      </c>
      <c r="K10" s="41"/>
      <c r="L10" s="41"/>
      <c r="M10" s="41"/>
      <c r="N10" s="41"/>
      <c r="O10" s="17"/>
      <c r="P10" s="17"/>
      <c r="Q10" s="17"/>
      <c r="R10" s="17"/>
      <c r="S10" s="13"/>
      <c r="T10" s="17" t="s">
        <v>17</v>
      </c>
      <c r="U10" s="17"/>
      <c r="V10" s="26">
        <f>V7*P26</f>
        <v>4724.9996456250246</v>
      </c>
      <c r="W10" s="17" t="s">
        <v>3</v>
      </c>
      <c r="X10" s="23" t="str">
        <f>CONCATENATE(ROUND(V10,0)," lbs")</f>
        <v>4725 lbs</v>
      </c>
      <c r="Y10" s="17"/>
      <c r="Z10" s="17"/>
      <c r="AA10" s="13"/>
      <c r="AB10" s="1"/>
      <c r="AC10" s="1"/>
    </row>
    <row r="11" spans="1:29" ht="11.1" customHeight="1" x14ac:dyDescent="0.25">
      <c r="A11" s="13"/>
      <c r="B11" s="17"/>
      <c r="C11" s="17"/>
      <c r="D11" s="17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7"/>
      <c r="P11" s="17"/>
      <c r="Q11" s="17"/>
      <c r="R11" s="17"/>
      <c r="S11" s="13"/>
      <c r="T11" s="17"/>
      <c r="U11" s="17"/>
      <c r="V11" s="24"/>
      <c r="W11" s="17"/>
      <c r="X11" s="17"/>
      <c r="Y11" s="17"/>
      <c r="Z11" s="17"/>
      <c r="AA11" s="13"/>
      <c r="AB11" s="1"/>
      <c r="AC11" s="1"/>
    </row>
    <row r="12" spans="1:29" ht="11.1" customHeight="1" x14ac:dyDescent="0.25">
      <c r="A12" s="13"/>
      <c r="B12" s="17"/>
      <c r="C12" s="17"/>
      <c r="D12" s="17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"/>
      <c r="P12" s="12">
        <v>4</v>
      </c>
      <c r="Q12" s="17" t="s">
        <v>10</v>
      </c>
      <c r="R12" s="17"/>
      <c r="S12" s="13"/>
      <c r="T12" s="17"/>
      <c r="U12" s="17"/>
      <c r="V12" s="24"/>
      <c r="W12" s="17"/>
      <c r="X12" s="17"/>
      <c r="Y12" s="17"/>
      <c r="Z12" s="17"/>
      <c r="AA12" s="13"/>
      <c r="AB12" s="1"/>
      <c r="AC12" s="1"/>
    </row>
    <row r="13" spans="1:29" ht="11.1" customHeight="1" x14ac:dyDescent="0.25">
      <c r="A13" s="13"/>
      <c r="B13" s="17"/>
      <c r="C13" s="17"/>
      <c r="D13" s="17"/>
      <c r="E13" s="41"/>
      <c r="F13" s="41"/>
      <c r="G13" s="41"/>
      <c r="H13" s="41"/>
      <c r="I13" s="156" t="str">
        <f>CONCATENATE($P$54," OSB")</f>
        <v>7/16 OSB</v>
      </c>
      <c r="J13" s="156"/>
      <c r="K13" s="41"/>
      <c r="L13" s="41"/>
      <c r="M13" s="41"/>
      <c r="N13" s="41"/>
      <c r="O13" s="17"/>
      <c r="P13" s="13"/>
      <c r="Q13" s="13"/>
      <c r="R13" s="17"/>
      <c r="S13" s="13"/>
      <c r="T13" s="17" t="s">
        <v>18</v>
      </c>
      <c r="U13" s="17"/>
      <c r="V13" s="20">
        <f>V14/M40</f>
        <v>674.99994937500401</v>
      </c>
      <c r="W13" s="17" t="s">
        <v>8</v>
      </c>
      <c r="X13" s="21" t="str">
        <f>CONCATENATE(ROUND(V13,1)," plf")</f>
        <v>675 plf</v>
      </c>
      <c r="Y13" s="17"/>
      <c r="Z13" s="17"/>
      <c r="AA13" s="13"/>
      <c r="AB13" s="1"/>
      <c r="AC13" s="1"/>
    </row>
    <row r="14" spans="1:29" ht="11.1" customHeight="1" x14ac:dyDescent="0.25">
      <c r="A14" s="13"/>
      <c r="B14" s="17"/>
      <c r="C14" s="17"/>
      <c r="D14" s="1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17"/>
      <c r="P14" s="17"/>
      <c r="Q14" s="17"/>
      <c r="R14" s="17"/>
      <c r="S14" s="13"/>
      <c r="T14" s="17" t="s">
        <v>19</v>
      </c>
      <c r="U14" s="17"/>
      <c r="V14" s="26">
        <f>U37</f>
        <v>900.00000000000034</v>
      </c>
      <c r="W14" s="17" t="s">
        <v>3</v>
      </c>
      <c r="X14" s="21" t="str">
        <f>CONCATENATE(ROUND(V14,0)," lbs")</f>
        <v>900 lbs</v>
      </c>
      <c r="Y14" s="17"/>
      <c r="Z14" s="17"/>
      <c r="AA14" s="13"/>
      <c r="AB14" s="1"/>
      <c r="AC14" s="1"/>
    </row>
    <row r="15" spans="1:29" ht="11.1" customHeight="1" x14ac:dyDescent="0.25">
      <c r="A15" s="13"/>
      <c r="B15" s="17"/>
      <c r="C15" s="17"/>
      <c r="D15" s="17"/>
      <c r="E15" s="41"/>
      <c r="F15" s="43">
        <f>V8</f>
        <v>899.99999999999966</v>
      </c>
      <c r="G15" s="41" t="s">
        <v>3</v>
      </c>
      <c r="H15" s="41"/>
      <c r="I15" s="160" t="s">
        <v>20</v>
      </c>
      <c r="J15" s="160"/>
      <c r="K15" s="41"/>
      <c r="L15" s="41"/>
      <c r="M15" s="44">
        <f>V14</f>
        <v>900.00000000000034</v>
      </c>
      <c r="N15" s="41" t="s">
        <v>3</v>
      </c>
      <c r="O15" s="17"/>
      <c r="P15" s="17"/>
      <c r="Q15" s="17"/>
      <c r="R15" s="17"/>
      <c r="S15" s="13"/>
      <c r="T15" s="17" t="s">
        <v>21</v>
      </c>
      <c r="U15" s="17"/>
      <c r="V15" s="26">
        <f>V13*P26</f>
        <v>4724.9996456250283</v>
      </c>
      <c r="W15" s="17" t="s">
        <v>3</v>
      </c>
      <c r="X15" s="21" t="str">
        <f>CONCATENATE(ROUND(V15,0)," lbs")</f>
        <v>4725 lbs</v>
      </c>
      <c r="Y15" s="17"/>
      <c r="Z15" s="17"/>
      <c r="AA15" s="13"/>
      <c r="AB15" s="1"/>
      <c r="AC15" s="1"/>
    </row>
    <row r="16" spans="1:29" ht="11.1" customHeight="1" x14ac:dyDescent="0.25">
      <c r="A16" s="13"/>
      <c r="B16" s="17"/>
      <c r="C16" s="17"/>
      <c r="D16" s="17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7"/>
      <c r="P16" s="17"/>
      <c r="Q16" s="17"/>
      <c r="R16" s="17"/>
      <c r="S16" s="13"/>
      <c r="T16" s="17" t="s">
        <v>22</v>
      </c>
      <c r="U16" s="17"/>
      <c r="V16" s="26">
        <f>V13*P26+V4</f>
        <v>5342.1424921882935</v>
      </c>
      <c r="W16" s="17" t="s">
        <v>3</v>
      </c>
      <c r="X16" s="21" t="str">
        <f>CONCATENATE(ROUND(V16,0)," lbs")</f>
        <v>5342 lbs</v>
      </c>
      <c r="Y16" s="17"/>
      <c r="Z16" s="17"/>
      <c r="AA16" s="13"/>
      <c r="AB16" s="1"/>
      <c r="AC16" s="1"/>
    </row>
    <row r="17" spans="1:32" ht="11.1" customHeight="1" x14ac:dyDescent="0.25">
      <c r="A17" s="13"/>
      <c r="B17" s="17"/>
      <c r="C17" s="17"/>
      <c r="D17" s="17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7"/>
      <c r="P17" s="17"/>
      <c r="Q17" s="17"/>
      <c r="R17" s="17"/>
      <c r="S17" s="13"/>
      <c r="T17" s="17"/>
      <c r="U17" s="17"/>
      <c r="V17" s="24"/>
      <c r="W17" s="17"/>
      <c r="X17" s="17"/>
      <c r="Y17" s="17"/>
      <c r="Z17" s="17"/>
      <c r="AA17" s="13"/>
      <c r="AB17" s="1"/>
      <c r="AC17" s="1"/>
    </row>
    <row r="18" spans="1:32" ht="11.1" customHeight="1" x14ac:dyDescent="0.25">
      <c r="A18" s="13"/>
      <c r="B18" s="17"/>
      <c r="C18" s="17"/>
      <c r="D18" s="17"/>
      <c r="E18" s="41"/>
      <c r="F18" s="41"/>
      <c r="G18" s="41"/>
      <c r="H18" s="17"/>
      <c r="I18" s="17"/>
      <c r="J18" s="17"/>
      <c r="K18" s="17"/>
      <c r="L18" s="41"/>
      <c r="M18" s="41"/>
      <c r="N18" s="41"/>
      <c r="O18" s="17"/>
      <c r="P18" s="17"/>
      <c r="Q18" s="17"/>
      <c r="R18" s="17"/>
      <c r="S18" s="13"/>
      <c r="T18" s="17"/>
      <c r="U18" s="17"/>
      <c r="V18" s="24"/>
      <c r="W18" s="17"/>
      <c r="X18" s="17"/>
      <c r="Y18" s="17"/>
      <c r="Z18" s="17"/>
      <c r="AA18" s="13"/>
      <c r="AB18" s="1"/>
      <c r="AC18" s="1"/>
    </row>
    <row r="19" spans="1:32" ht="11.1" customHeight="1" x14ac:dyDescent="0.25">
      <c r="A19" s="13"/>
      <c r="B19" s="17"/>
      <c r="C19" s="17"/>
      <c r="D19" s="17"/>
      <c r="E19" s="41"/>
      <c r="F19" s="42">
        <f>V7</f>
        <v>674.99994937500355</v>
      </c>
      <c r="G19" s="41" t="s">
        <v>8</v>
      </c>
      <c r="H19" s="17"/>
      <c r="I19" s="17"/>
      <c r="J19" s="17"/>
      <c r="K19" s="17"/>
      <c r="L19" s="41"/>
      <c r="M19" s="42">
        <f>V13</f>
        <v>674.99994937500401</v>
      </c>
      <c r="N19" s="41" t="s">
        <v>8</v>
      </c>
      <c r="O19" s="17"/>
      <c r="P19" s="17"/>
      <c r="Q19" s="17"/>
      <c r="R19" s="17"/>
      <c r="S19" s="13"/>
      <c r="T19" s="27" t="s">
        <v>23</v>
      </c>
      <c r="U19" s="17"/>
      <c r="V19" s="24"/>
      <c r="W19" s="17"/>
      <c r="X19" s="17"/>
      <c r="Y19" s="17"/>
      <c r="Z19" s="17"/>
      <c r="AA19" s="95" t="s">
        <v>122</v>
      </c>
      <c r="AB19" s="1"/>
      <c r="AC19" s="1"/>
    </row>
    <row r="20" spans="1:32" ht="11.1" customHeight="1" x14ac:dyDescent="0.25">
      <c r="A20" s="13"/>
      <c r="B20" s="17"/>
      <c r="C20" s="17"/>
      <c r="D20" s="17"/>
      <c r="E20" s="41"/>
      <c r="F20" s="41"/>
      <c r="G20" s="41"/>
      <c r="H20" s="17"/>
      <c r="I20" s="17"/>
      <c r="J20" s="17"/>
      <c r="K20" s="17"/>
      <c r="L20" s="41"/>
      <c r="M20" s="41"/>
      <c r="N20" s="41"/>
      <c r="O20" s="17"/>
      <c r="P20" s="17"/>
      <c r="Q20" s="17"/>
      <c r="R20" s="17"/>
      <c r="S20" s="13"/>
      <c r="T20" s="2" t="s">
        <v>24</v>
      </c>
      <c r="U20" s="28">
        <v>1600000</v>
      </c>
      <c r="V20" s="24" t="s">
        <v>25</v>
      </c>
      <c r="W20" s="17"/>
      <c r="X20" s="17"/>
      <c r="Y20" s="13"/>
      <c r="Z20" s="13"/>
      <c r="AA20" s="27" t="s">
        <v>119</v>
      </c>
      <c r="AB20" s="3"/>
      <c r="AC20" s="3"/>
    </row>
    <row r="21" spans="1:32" ht="11.1" customHeight="1" x14ac:dyDescent="0.25">
      <c r="A21" s="13"/>
      <c r="B21" s="17"/>
      <c r="C21" s="17"/>
      <c r="D21" s="17"/>
      <c r="E21" s="41"/>
      <c r="F21" s="41"/>
      <c r="G21" s="41"/>
      <c r="H21" s="17"/>
      <c r="I21" s="17"/>
      <c r="J21" s="17"/>
      <c r="K21" s="17"/>
      <c r="L21" s="41"/>
      <c r="M21" s="41"/>
      <c r="N21" s="41"/>
      <c r="O21" s="17"/>
      <c r="P21" s="17"/>
      <c r="Q21" s="17"/>
      <c r="R21" s="17"/>
      <c r="S21" s="13"/>
      <c r="T21" s="2" t="s">
        <v>26</v>
      </c>
      <c r="U21" s="29">
        <f>VLOOKUP(P68,V81:Y95,4,FALSE)</f>
        <v>16.5</v>
      </c>
      <c r="V21" s="24" t="s">
        <v>27</v>
      </c>
      <c r="W21" s="17"/>
      <c r="X21" s="17"/>
      <c r="Y21" s="13"/>
      <c r="Z21" s="13"/>
      <c r="AA21" s="111"/>
      <c r="AB21" s="87">
        <v>3</v>
      </c>
      <c r="AC21" s="88">
        <v>2</v>
      </c>
    </row>
    <row r="22" spans="1:32" ht="11.1" customHeight="1" x14ac:dyDescent="0.25">
      <c r="A22" s="13"/>
      <c r="B22" s="17"/>
      <c r="C22" s="17"/>
      <c r="D22" s="17"/>
      <c r="E22" s="41"/>
      <c r="F22" s="41"/>
      <c r="G22" s="41"/>
      <c r="H22" s="17"/>
      <c r="I22" s="17"/>
      <c r="J22" s="17"/>
      <c r="K22" s="17"/>
      <c r="L22" s="41"/>
      <c r="M22" s="41"/>
      <c r="N22" s="41"/>
      <c r="O22" s="17"/>
      <c r="P22" s="17"/>
      <c r="Q22" s="29">
        <f>P12+P26</f>
        <v>11</v>
      </c>
      <c r="R22" s="17" t="s">
        <v>10</v>
      </c>
      <c r="S22" s="13"/>
      <c r="T22" s="2" t="s">
        <v>28</v>
      </c>
      <c r="U22" s="25">
        <f>IF(P58="8d",AA24,AA30)</f>
        <v>28</v>
      </c>
      <c r="V22" s="24" t="s">
        <v>29</v>
      </c>
      <c r="W22" s="17"/>
      <c r="X22" s="17"/>
      <c r="Y22" s="13"/>
      <c r="Z22" s="13"/>
      <c r="AA22" s="89" t="s">
        <v>68</v>
      </c>
      <c r="AB22" s="70">
        <v>28</v>
      </c>
      <c r="AC22" s="107">
        <v>42</v>
      </c>
    </row>
    <row r="23" spans="1:32" ht="11.1" customHeight="1" x14ac:dyDescent="0.25">
      <c r="A23" s="13"/>
      <c r="B23" s="17"/>
      <c r="C23" s="17"/>
      <c r="D23" s="17"/>
      <c r="E23" s="41"/>
      <c r="F23" s="41"/>
      <c r="G23" s="41"/>
      <c r="H23" s="17"/>
      <c r="I23" s="17"/>
      <c r="J23" s="17"/>
      <c r="K23" s="17"/>
      <c r="L23" s="41"/>
      <c r="M23" s="41"/>
      <c r="N23" s="41"/>
      <c r="O23" s="17"/>
      <c r="P23" s="17"/>
      <c r="Q23" s="17"/>
      <c r="R23" s="17"/>
      <c r="S23" s="13"/>
      <c r="T23" s="2" t="s">
        <v>30</v>
      </c>
      <c r="U23" s="105">
        <f>VLOOKUP(P66,U67:AJ75,MATCH(P68,U66:AJ66,0),FALSE)</f>
        <v>0.16400000000000001</v>
      </c>
      <c r="V23" s="24" t="s">
        <v>31</v>
      </c>
      <c r="W23" s="17"/>
      <c r="X23" s="17"/>
      <c r="Y23" s="13"/>
      <c r="Z23" s="13"/>
      <c r="AA23" s="90" t="s">
        <v>72</v>
      </c>
      <c r="AB23" s="74">
        <v>25</v>
      </c>
      <c r="AC23" s="93">
        <v>39</v>
      </c>
    </row>
    <row r="24" spans="1:32" ht="11.1" customHeight="1" x14ac:dyDescent="0.25">
      <c r="A24" s="13"/>
      <c r="B24" s="17"/>
      <c r="C24" s="17"/>
      <c r="D24" s="17"/>
      <c r="E24" s="41"/>
      <c r="F24" s="41"/>
      <c r="G24" s="41"/>
      <c r="H24" s="17"/>
      <c r="I24" s="161" t="s">
        <v>32</v>
      </c>
      <c r="J24" s="161"/>
      <c r="K24" s="17"/>
      <c r="L24" s="41"/>
      <c r="M24" s="41"/>
      <c r="N24" s="41"/>
      <c r="O24" s="17"/>
      <c r="P24" s="17"/>
      <c r="Q24" s="17"/>
      <c r="R24" s="17"/>
      <c r="S24" s="13"/>
      <c r="T24" s="30" t="s">
        <v>33</v>
      </c>
      <c r="U24" s="86" t="str">
        <f>P56</f>
        <v>NO</v>
      </c>
      <c r="V24" s="24"/>
      <c r="W24" s="17"/>
      <c r="X24" s="17"/>
      <c r="Y24" s="13"/>
      <c r="Z24" s="13"/>
      <c r="AA24" s="17">
        <f>VLOOKUP(P54,AA22:AC23,MATCH(P57,AA21:AC21,0),FALSE)</f>
        <v>28</v>
      </c>
      <c r="AB24" s="3"/>
      <c r="AC24" s="3"/>
      <c r="AD24" s="11"/>
      <c r="AE24" s="11"/>
      <c r="AF24" s="11"/>
    </row>
    <row r="25" spans="1:32" ht="11.1" customHeight="1" x14ac:dyDescent="0.25">
      <c r="A25" s="13"/>
      <c r="B25" s="17"/>
      <c r="C25" s="17"/>
      <c r="D25" s="17"/>
      <c r="E25" s="41"/>
      <c r="F25" s="41"/>
      <c r="G25" s="41"/>
      <c r="H25" s="17"/>
      <c r="I25" s="17"/>
      <c r="J25" s="17"/>
      <c r="K25" s="17"/>
      <c r="L25" s="41"/>
      <c r="M25" s="41"/>
      <c r="N25" s="41"/>
      <c r="O25" s="17"/>
      <c r="P25" s="17"/>
      <c r="Q25" s="17"/>
      <c r="R25" s="17"/>
      <c r="S25" s="13"/>
      <c r="T25" s="13"/>
      <c r="U25" s="13"/>
      <c r="V25" s="13"/>
      <c r="W25" s="13"/>
      <c r="X25" s="13"/>
      <c r="Y25" s="13"/>
      <c r="Z25" s="13"/>
      <c r="AA25" s="95" t="s">
        <v>122</v>
      </c>
      <c r="AD25" s="11"/>
      <c r="AE25" s="11"/>
      <c r="AF25" s="11"/>
    </row>
    <row r="26" spans="1:32" ht="11.1" customHeight="1" x14ac:dyDescent="0.25">
      <c r="A26" s="13"/>
      <c r="B26" s="17"/>
      <c r="C26" s="17"/>
      <c r="D26" s="17"/>
      <c r="E26" s="41"/>
      <c r="F26" s="45" t="s">
        <v>35</v>
      </c>
      <c r="G26" s="41"/>
      <c r="H26" s="158" t="str">
        <f>IF(Q22&gt;12,"Wall Height Greater than 12 Feet ","")</f>
        <v/>
      </c>
      <c r="I26" s="158"/>
      <c r="J26" s="158"/>
      <c r="K26" s="158"/>
      <c r="L26" s="41"/>
      <c r="M26" s="45" t="s">
        <v>36</v>
      </c>
      <c r="N26" s="41"/>
      <c r="O26" s="17"/>
      <c r="P26" s="12">
        <v>7</v>
      </c>
      <c r="Q26" s="17" t="s">
        <v>10</v>
      </c>
      <c r="R26" s="17"/>
      <c r="S26" s="13"/>
      <c r="T26" s="2" t="s">
        <v>37</v>
      </c>
      <c r="U26" s="17">
        <f>8/(U20*U21)</f>
        <v>3.0303030303030305E-7</v>
      </c>
      <c r="V26" s="24"/>
      <c r="W26" s="2" t="s">
        <v>38</v>
      </c>
      <c r="X26" s="31">
        <f>P26</f>
        <v>7</v>
      </c>
      <c r="Y26" s="17" t="s">
        <v>10</v>
      </c>
      <c r="Z26" s="17"/>
      <c r="AA26" s="27" t="s">
        <v>120</v>
      </c>
      <c r="AB26" s="11"/>
      <c r="AC26" s="11"/>
      <c r="AD26" s="11"/>
      <c r="AE26" s="11"/>
      <c r="AF26" s="11"/>
    </row>
    <row r="27" spans="1:32" ht="11.1" customHeight="1" x14ac:dyDescent="0.25">
      <c r="A27" s="13"/>
      <c r="B27" s="17"/>
      <c r="C27" s="17"/>
      <c r="D27" s="17"/>
      <c r="E27" s="41"/>
      <c r="F27" s="41"/>
      <c r="G27" s="41"/>
      <c r="H27" s="158" t="str">
        <f>IF(P12&gt;4,"Pony Wall Height Greater than 4 Feet ","")</f>
        <v/>
      </c>
      <c r="I27" s="158"/>
      <c r="J27" s="158"/>
      <c r="K27" s="158"/>
      <c r="L27" s="41"/>
      <c r="M27" s="41"/>
      <c r="N27" s="41"/>
      <c r="O27" s="17"/>
      <c r="P27" s="17"/>
      <c r="Q27" s="17"/>
      <c r="R27" s="17"/>
      <c r="S27" s="13"/>
      <c r="T27" s="2" t="s">
        <v>39</v>
      </c>
      <c r="U27" s="17">
        <f>IF(U24="YES",1/(U22*1000*2),1/(U22*1000))</f>
        <v>3.5714285714285717E-5</v>
      </c>
      <c r="V27" s="24"/>
      <c r="W27" s="2" t="s">
        <v>40</v>
      </c>
      <c r="X27" s="24">
        <f>F40</f>
        <v>1.3333334333333333</v>
      </c>
      <c r="Y27" s="17" t="s">
        <v>10</v>
      </c>
      <c r="Z27" s="17"/>
      <c r="AA27" s="111"/>
      <c r="AB27" s="87">
        <v>3</v>
      </c>
      <c r="AC27" s="88">
        <v>2</v>
      </c>
      <c r="AD27" s="11"/>
      <c r="AE27" s="11"/>
      <c r="AF27" s="11"/>
    </row>
    <row r="28" spans="1:32" ht="11.1" customHeight="1" x14ac:dyDescent="0.25">
      <c r="A28" s="13"/>
      <c r="B28" s="17"/>
      <c r="C28" s="17"/>
      <c r="D28" s="17"/>
      <c r="E28" s="41"/>
      <c r="F28" s="144" t="str">
        <f>CONCATENATE($P$54," OSB")</f>
        <v>7/16 OSB</v>
      </c>
      <c r="G28" s="41"/>
      <c r="H28" s="158" t="str">
        <f>IF(P26&gt;9,"Shear Panel Height Greater than 9 Feet","")</f>
        <v/>
      </c>
      <c r="I28" s="158"/>
      <c r="J28" s="158"/>
      <c r="K28" s="158"/>
      <c r="L28" s="41"/>
      <c r="M28" s="144" t="str">
        <f>CONCATENATE($P$54," OSB")</f>
        <v>7/16 OSB</v>
      </c>
      <c r="N28" s="41"/>
      <c r="O28" s="17"/>
      <c r="P28" s="17"/>
      <c r="Q28" s="17"/>
      <c r="R28" s="17"/>
      <c r="S28" s="13"/>
      <c r="T28" s="2" t="s">
        <v>41</v>
      </c>
      <c r="U28" s="32">
        <f>U23</f>
        <v>0.16400000000000001</v>
      </c>
      <c r="V28" s="13"/>
      <c r="W28" s="2" t="s">
        <v>42</v>
      </c>
      <c r="X28" s="24">
        <f>M40</f>
        <v>1.3333334333333333</v>
      </c>
      <c r="Y28" s="17" t="s">
        <v>10</v>
      </c>
      <c r="Z28" s="17"/>
      <c r="AA28" s="89" t="s">
        <v>68</v>
      </c>
      <c r="AB28" s="108" t="s">
        <v>91</v>
      </c>
      <c r="AC28" s="109" t="s">
        <v>91</v>
      </c>
      <c r="AD28" s="11"/>
      <c r="AE28" s="11"/>
      <c r="AF28" s="11"/>
    </row>
    <row r="29" spans="1:32" ht="11.1" customHeight="1" x14ac:dyDescent="0.25">
      <c r="A29" s="13"/>
      <c r="B29" s="17"/>
      <c r="C29" s="17"/>
      <c r="D29" s="17"/>
      <c r="E29" s="41"/>
      <c r="F29" s="41"/>
      <c r="G29" s="41"/>
      <c r="H29" s="158" t="str">
        <f>IF(I40&gt;18,"Opening Width Greater than 18 Feet",IF(I40&lt;2,"Opening Width Less than 2 Feet",""))</f>
        <v/>
      </c>
      <c r="I29" s="158"/>
      <c r="J29" s="158"/>
      <c r="K29" s="158"/>
      <c r="L29" s="41"/>
      <c r="M29" s="41"/>
      <c r="N29" s="41"/>
      <c r="O29" s="17"/>
      <c r="P29" s="17"/>
      <c r="Q29" s="17"/>
      <c r="R29" s="17"/>
      <c r="S29" s="13"/>
      <c r="T29" s="2"/>
      <c r="U29" s="33"/>
      <c r="V29" s="13"/>
      <c r="W29" s="13"/>
      <c r="X29" s="13"/>
      <c r="Y29" s="17"/>
      <c r="Z29" s="13"/>
      <c r="AA29" s="90" t="s">
        <v>72</v>
      </c>
      <c r="AB29" s="110">
        <v>37</v>
      </c>
      <c r="AC29" s="91">
        <v>52</v>
      </c>
      <c r="AD29" s="11"/>
      <c r="AE29" s="11"/>
      <c r="AF29" s="11"/>
    </row>
    <row r="30" spans="1:32" ht="11.1" customHeight="1" x14ac:dyDescent="0.25">
      <c r="A30" s="13"/>
      <c r="B30" s="17"/>
      <c r="C30" s="17"/>
      <c r="D30" s="17"/>
      <c r="E30" s="41"/>
      <c r="F30" s="41"/>
      <c r="G30" s="41"/>
      <c r="H30" s="158" t="str">
        <f>IF(F40&lt;1.333333,"Shear Panel Width Less than 16 Inches","")</f>
        <v/>
      </c>
      <c r="I30" s="158"/>
      <c r="J30" s="158"/>
      <c r="K30" s="158"/>
      <c r="L30" s="41"/>
      <c r="M30" s="41"/>
      <c r="N30" s="41"/>
      <c r="O30" s="17"/>
      <c r="P30" s="17"/>
      <c r="Q30" s="17"/>
      <c r="R30" s="17"/>
      <c r="S30" s="13"/>
      <c r="T30" s="17" t="s">
        <v>43</v>
      </c>
      <c r="U30" s="17">
        <f>(U26*X26*X26)/X27</f>
        <v>1.1136362801136426E-5</v>
      </c>
      <c r="V30" s="24"/>
      <c r="W30" s="13"/>
      <c r="X30" s="13"/>
      <c r="Y30" s="17"/>
      <c r="Z30" s="17"/>
      <c r="AA30" s="2" t="str">
        <f>VLOOKUP(P54,AA28:AC29,MATCH(P57,AA27:AC27,0),FALSE)</f>
        <v>NS</v>
      </c>
      <c r="AB30" s="3"/>
      <c r="AC30" s="3"/>
      <c r="AD30" s="11"/>
      <c r="AE30" s="11"/>
      <c r="AF30" s="11"/>
    </row>
    <row r="31" spans="1:32" ht="11.1" customHeight="1" x14ac:dyDescent="0.25">
      <c r="A31" s="13"/>
      <c r="B31" s="17"/>
      <c r="C31" s="17"/>
      <c r="D31" s="17"/>
      <c r="E31" s="41"/>
      <c r="F31" s="41"/>
      <c r="G31" s="41"/>
      <c r="H31" s="17"/>
      <c r="I31" s="17"/>
      <c r="J31" s="17"/>
      <c r="K31" s="17"/>
      <c r="L31" s="41"/>
      <c r="M31" s="41"/>
      <c r="N31" s="41"/>
      <c r="O31" s="17"/>
      <c r="P31" s="17"/>
      <c r="Q31" s="17"/>
      <c r="R31" s="17"/>
      <c r="S31" s="13"/>
      <c r="T31" s="17" t="s">
        <v>44</v>
      </c>
      <c r="U31" s="17">
        <f>(U26*X26*X26)/X28</f>
        <v>1.1136362801136426E-5</v>
      </c>
      <c r="V31" s="13"/>
      <c r="W31" s="13"/>
      <c r="X31" s="13"/>
      <c r="Y31" s="13"/>
      <c r="Z31" s="17"/>
      <c r="AA31" s="17"/>
      <c r="AB31" s="3"/>
      <c r="AC31" s="3"/>
      <c r="AD31" s="11"/>
      <c r="AE31" s="11"/>
      <c r="AF31" s="11"/>
    </row>
    <row r="32" spans="1:32" ht="11.1" customHeight="1" x14ac:dyDescent="0.25">
      <c r="A32" s="13"/>
      <c r="B32" s="17"/>
      <c r="C32" s="17"/>
      <c r="D32" s="17"/>
      <c r="E32" s="41"/>
      <c r="F32" s="41"/>
      <c r="G32" s="41"/>
      <c r="H32" s="17"/>
      <c r="I32" s="17"/>
      <c r="J32" s="17"/>
      <c r="K32" s="17"/>
      <c r="L32" s="41"/>
      <c r="M32" s="41"/>
      <c r="N32" s="41"/>
      <c r="O32" s="17"/>
      <c r="P32" s="17"/>
      <c r="Q32" s="17"/>
      <c r="R32" s="17"/>
      <c r="S32" s="13"/>
      <c r="T32" s="13"/>
      <c r="U32" s="13"/>
      <c r="V32" s="24"/>
      <c r="W32" s="17"/>
      <c r="X32" s="17"/>
      <c r="Y32" s="13"/>
      <c r="Z32" s="13"/>
      <c r="AA32" s="17"/>
      <c r="AB32" s="3"/>
      <c r="AC32" s="3"/>
      <c r="AD32" s="11"/>
      <c r="AE32" s="11"/>
      <c r="AF32" s="11"/>
    </row>
    <row r="33" spans="1:32" ht="11.1" customHeight="1" x14ac:dyDescent="0.25">
      <c r="A33" s="13"/>
      <c r="B33" s="17"/>
      <c r="C33" s="17"/>
      <c r="D33" s="17"/>
      <c r="E33" s="41"/>
      <c r="F33" s="42">
        <f>V7</f>
        <v>674.99994937500355</v>
      </c>
      <c r="G33" s="41" t="s">
        <v>8</v>
      </c>
      <c r="H33" s="159" t="s">
        <v>67</v>
      </c>
      <c r="I33" s="159"/>
      <c r="J33" s="159"/>
      <c r="K33" s="159"/>
      <c r="L33" s="41"/>
      <c r="M33" s="42">
        <f>V13</f>
        <v>674.99994937500401</v>
      </c>
      <c r="N33" s="41" t="s">
        <v>8</v>
      </c>
      <c r="O33" s="17"/>
      <c r="P33" s="17"/>
      <c r="Q33" s="17"/>
      <c r="R33" s="17"/>
      <c r="S33" s="13"/>
      <c r="T33" s="17" t="s">
        <v>45</v>
      </c>
      <c r="U33" s="17">
        <f>(C7/X28)*(U31+U27)+(U28/X28)-(U28/X27)</f>
        <v>6.3248370752192071E-2</v>
      </c>
      <c r="V33" s="17"/>
      <c r="W33" s="17"/>
      <c r="X33" s="17"/>
      <c r="Y33" s="13"/>
      <c r="Z33" s="17"/>
      <c r="AA33" s="27" t="s">
        <v>135</v>
      </c>
      <c r="AB33" s="3"/>
      <c r="AC33" s="3"/>
      <c r="AD33" s="11"/>
      <c r="AE33" s="11"/>
      <c r="AF33" s="11"/>
    </row>
    <row r="34" spans="1:32" ht="11.1" customHeight="1" x14ac:dyDescent="0.25">
      <c r="A34" s="13"/>
      <c r="B34" s="17"/>
      <c r="C34" s="17"/>
      <c r="D34" s="17"/>
      <c r="E34" s="41"/>
      <c r="F34" s="41"/>
      <c r="G34" s="41"/>
      <c r="H34" s="17"/>
      <c r="I34" s="17"/>
      <c r="J34" s="17"/>
      <c r="K34" s="17"/>
      <c r="L34" s="41"/>
      <c r="M34" s="41"/>
      <c r="N34" s="41"/>
      <c r="O34" s="17"/>
      <c r="P34" s="17"/>
      <c r="Q34" s="17"/>
      <c r="R34" s="17"/>
      <c r="S34" s="13"/>
      <c r="T34" s="17" t="s">
        <v>46</v>
      </c>
      <c r="U34" s="17">
        <f>(U30+U27)/X27 + (U31+U27)/X28</f>
        <v>7.0275967502435657E-5</v>
      </c>
      <c r="V34" s="17"/>
      <c r="W34" s="17"/>
      <c r="X34" s="17"/>
      <c r="Y34" s="17"/>
      <c r="Z34" s="17"/>
      <c r="AA34" s="120">
        <f>IF(P56="YES",2,1)</f>
        <v>1</v>
      </c>
      <c r="AB34" s="1"/>
      <c r="AC34" s="1"/>
    </row>
    <row r="35" spans="1:32" ht="11.1" customHeight="1" x14ac:dyDescent="0.25">
      <c r="A35" s="13"/>
      <c r="B35" s="17"/>
      <c r="C35" s="17"/>
      <c r="D35" s="17"/>
      <c r="E35" s="41"/>
      <c r="F35" s="41"/>
      <c r="G35" s="41"/>
      <c r="H35" s="17"/>
      <c r="I35" s="17"/>
      <c r="J35" s="17"/>
      <c r="K35" s="17"/>
      <c r="L35" s="41"/>
      <c r="M35" s="41"/>
      <c r="N35" s="41"/>
      <c r="O35" s="17"/>
      <c r="P35" s="17"/>
      <c r="Q35" s="17"/>
      <c r="R35" s="17"/>
      <c r="S35" s="13"/>
      <c r="T35" s="17"/>
      <c r="U35" s="17"/>
      <c r="V35" s="17"/>
      <c r="W35" s="17"/>
      <c r="X35" s="17"/>
      <c r="Y35" s="17"/>
      <c r="Z35" s="17"/>
      <c r="AA35" s="13"/>
      <c r="AB35" s="1"/>
      <c r="AC35" s="1"/>
    </row>
    <row r="36" spans="1:32" ht="11.1" customHeight="1" x14ac:dyDescent="0.25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O36" s="17"/>
      <c r="P36" s="17"/>
      <c r="Q36" s="17"/>
      <c r="R36" s="17"/>
      <c r="S36" s="13"/>
      <c r="T36" s="17" t="s">
        <v>47</v>
      </c>
      <c r="U36" s="22">
        <f>IF(U33/U34&gt;C7,C7,IF(U33/U34&lt;0,0,U33/U34))</f>
        <v>899.99999999999966</v>
      </c>
      <c r="V36" s="17" t="s">
        <v>3</v>
      </c>
      <c r="W36" s="17"/>
      <c r="X36" s="17"/>
      <c r="Y36" s="17"/>
      <c r="Z36" s="17"/>
      <c r="AA36" s="27" t="s">
        <v>169</v>
      </c>
      <c r="AB36" s="1"/>
      <c r="AC36" s="1"/>
    </row>
    <row r="37" spans="1:32" ht="11.1" customHeight="1" x14ac:dyDescent="0.25">
      <c r="A37" s="13"/>
      <c r="B37" s="17"/>
      <c r="C37" s="17"/>
      <c r="D37" s="17"/>
      <c r="E37" s="17"/>
      <c r="F37" s="16">
        <v>1</v>
      </c>
      <c r="G37" s="17" t="s">
        <v>10</v>
      </c>
      <c r="H37" s="17"/>
      <c r="I37" s="16">
        <v>9</v>
      </c>
      <c r="J37" s="17" t="s">
        <v>10</v>
      </c>
      <c r="K37" s="17"/>
      <c r="L37" s="17"/>
      <c r="M37" s="16">
        <v>1</v>
      </c>
      <c r="N37" s="17" t="s">
        <v>10</v>
      </c>
      <c r="O37" s="17"/>
      <c r="P37" s="17"/>
      <c r="Q37" s="17"/>
      <c r="R37" s="17"/>
      <c r="S37" s="13"/>
      <c r="T37" s="17" t="s">
        <v>48</v>
      </c>
      <c r="U37" s="22">
        <f>C7-U36</f>
        <v>900.00000000000034</v>
      </c>
      <c r="V37" s="17" t="s">
        <v>3</v>
      </c>
      <c r="W37" s="17"/>
      <c r="X37" s="17"/>
      <c r="Y37" s="17"/>
      <c r="Z37" s="17"/>
      <c r="AA37" s="17">
        <f>IF(P54="7/16",0.4375,0.46875)</f>
        <v>0.4375</v>
      </c>
      <c r="AB37" s="1"/>
      <c r="AC37" s="1"/>
    </row>
    <row r="38" spans="1:32" ht="11.1" customHeight="1" x14ac:dyDescent="0.25">
      <c r="A38" s="13"/>
      <c r="B38" s="17"/>
      <c r="C38" s="17"/>
      <c r="D38" s="17"/>
      <c r="E38" s="17"/>
      <c r="F38" s="34">
        <v>4</v>
      </c>
      <c r="G38" s="17" t="s">
        <v>13</v>
      </c>
      <c r="H38" s="17"/>
      <c r="I38" s="34">
        <v>0</v>
      </c>
      <c r="J38" s="17" t="s">
        <v>13</v>
      </c>
      <c r="K38" s="17"/>
      <c r="L38" s="17"/>
      <c r="M38" s="34">
        <v>4</v>
      </c>
      <c r="N38" s="17" t="s">
        <v>13</v>
      </c>
      <c r="O38" s="17"/>
      <c r="P38" s="17"/>
      <c r="Q38" s="17"/>
      <c r="R38" s="17"/>
      <c r="S38" s="13"/>
      <c r="T38" s="13"/>
      <c r="U38" s="13"/>
      <c r="V38" s="13"/>
      <c r="W38" s="13"/>
      <c r="X38" s="13"/>
      <c r="Y38" s="17"/>
      <c r="Z38" s="17"/>
      <c r="AA38" s="13"/>
      <c r="AB38" s="1"/>
      <c r="AC38" s="1"/>
    </row>
    <row r="39" spans="1:32" ht="11.1" customHeight="1" x14ac:dyDescent="0.25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3"/>
      <c r="T39" s="17" t="s">
        <v>49</v>
      </c>
      <c r="U39" s="20">
        <f>V7</f>
        <v>674.99994937500355</v>
      </c>
      <c r="V39" s="17" t="s">
        <v>8</v>
      </c>
      <c r="W39" s="13"/>
      <c r="X39" s="13"/>
      <c r="Y39" s="13"/>
      <c r="Z39" s="13"/>
      <c r="AA39" s="27" t="s">
        <v>176</v>
      </c>
      <c r="AB39" s="1"/>
      <c r="AC39" s="1"/>
    </row>
    <row r="40" spans="1:32" ht="11.1" customHeight="1" x14ac:dyDescent="0.25">
      <c r="A40" s="13"/>
      <c r="B40" s="17"/>
      <c r="C40" s="17"/>
      <c r="D40" s="17"/>
      <c r="E40" s="17"/>
      <c r="F40" s="24">
        <f>F37+F38/12+0.0000001</f>
        <v>1.3333334333333333</v>
      </c>
      <c r="G40" s="17" t="s">
        <v>10</v>
      </c>
      <c r="H40" s="17"/>
      <c r="I40" s="24">
        <f>I37+I38/12</f>
        <v>9</v>
      </c>
      <c r="J40" s="17" t="s">
        <v>10</v>
      </c>
      <c r="K40" s="17"/>
      <c r="L40" s="17"/>
      <c r="M40" s="24">
        <f>M37+M38/12+0.0000001</f>
        <v>1.3333334333333333</v>
      </c>
      <c r="N40" s="17" t="s">
        <v>10</v>
      </c>
      <c r="O40" s="17"/>
      <c r="P40" s="17"/>
      <c r="Q40" s="17"/>
      <c r="R40" s="17"/>
      <c r="S40" s="13"/>
      <c r="T40" s="17" t="s">
        <v>50</v>
      </c>
      <c r="U40" s="20">
        <f>V13</f>
        <v>674.99994937500401</v>
      </c>
      <c r="V40" s="17" t="s">
        <v>8</v>
      </c>
      <c r="W40" s="13"/>
      <c r="X40" s="13"/>
      <c r="Y40" s="13"/>
      <c r="Z40" s="13"/>
      <c r="AA40" s="120">
        <f>IF(P64="YES",2,1)</f>
        <v>1</v>
      </c>
      <c r="AB40" s="1"/>
      <c r="AC40" s="1"/>
    </row>
    <row r="41" spans="1:32" ht="11.1" customHeight="1" x14ac:dyDescent="0.25">
      <c r="A41" s="13"/>
      <c r="B41" s="17"/>
      <c r="C41" s="17"/>
      <c r="D41" s="17"/>
      <c r="E41" s="17"/>
      <c r="G41" s="17"/>
      <c r="H41" s="17"/>
      <c r="I41" s="17"/>
      <c r="J41" s="17"/>
      <c r="K41" s="17"/>
      <c r="L41" s="17"/>
      <c r="N41" s="17"/>
      <c r="O41" s="17"/>
      <c r="P41" s="17"/>
      <c r="Q41" s="17"/>
      <c r="R41" s="17"/>
      <c r="S41" s="13"/>
      <c r="T41" s="13"/>
      <c r="U41" s="13"/>
      <c r="V41" s="13"/>
      <c r="W41" s="13"/>
      <c r="X41" s="13"/>
      <c r="Y41" s="13"/>
      <c r="Z41" s="13"/>
      <c r="AA41" s="13"/>
      <c r="AB41" s="1"/>
      <c r="AC41" s="1"/>
    </row>
    <row r="42" spans="1:32" ht="11.1" customHeight="1" x14ac:dyDescent="0.25">
      <c r="A42" s="13"/>
      <c r="B42" s="17"/>
      <c r="C42" s="17"/>
      <c r="D42" s="17"/>
      <c r="E42" s="17"/>
      <c r="F42" s="137" t="s">
        <v>174</v>
      </c>
      <c r="G42" s="17"/>
      <c r="H42" s="17"/>
      <c r="I42" s="17"/>
      <c r="J42" s="17"/>
      <c r="K42" s="17"/>
      <c r="L42" s="17"/>
      <c r="M42" s="137" t="s">
        <v>173</v>
      </c>
      <c r="N42" s="17"/>
      <c r="O42" s="17"/>
      <c r="P42" s="17"/>
      <c r="Q42" s="17"/>
      <c r="R42" s="17"/>
      <c r="S42" s="13"/>
      <c r="T42" s="5" t="s">
        <v>51</v>
      </c>
      <c r="U42" s="5" t="s">
        <v>52</v>
      </c>
      <c r="V42" s="5" t="s">
        <v>53</v>
      </c>
      <c r="W42" s="35"/>
      <c r="X42" s="5" t="s">
        <v>54</v>
      </c>
      <c r="Y42" s="5" t="s">
        <v>55</v>
      </c>
      <c r="Z42" s="5" t="s">
        <v>56</v>
      </c>
      <c r="AA42" s="5" t="s">
        <v>57</v>
      </c>
      <c r="AB42" s="6" t="s">
        <v>58</v>
      </c>
      <c r="AC42" s="1"/>
    </row>
    <row r="43" spans="1:32" ht="11.1" customHeight="1" x14ac:dyDescent="0.25">
      <c r="A43" s="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3"/>
      <c r="T43" s="7">
        <v>1</v>
      </c>
      <c r="U43" s="36">
        <f>X27</f>
        <v>1.3333334333333333</v>
      </c>
      <c r="V43" s="8">
        <f>IFERROR(AB43, "--")</f>
        <v>1.0823692330576771</v>
      </c>
      <c r="W43" s="17" t="s">
        <v>59</v>
      </c>
      <c r="X43" s="33">
        <f>(8*$U$39*$P$26^3)/($U$20*$U$21*U43)</f>
        <v>5.261931028892132E-2</v>
      </c>
      <c r="Y43" s="33">
        <f>IF($U$24="YES",($U$39*$P$26)/(2*$U$22*1000),($U$39*$P$26)/($U$22*1000))</f>
        <v>0.16874998734375088</v>
      </c>
      <c r="Z43" s="33">
        <v>0</v>
      </c>
      <c r="AA43" s="33">
        <f>$P$26*$U$23/U43</f>
        <v>0.86099993542500497</v>
      </c>
      <c r="AB43" s="9">
        <f>SUM(X43:AA43)</f>
        <v>1.0823692330576771</v>
      </c>
      <c r="AC43" s="1"/>
    </row>
    <row r="44" spans="1:32" ht="11.1" customHeight="1" x14ac:dyDescent="0.25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3"/>
      <c r="T44" s="7">
        <v>2</v>
      </c>
      <c r="U44" s="36">
        <f>X28</f>
        <v>1.3333334333333333</v>
      </c>
      <c r="V44" s="8">
        <f>IFERROR(AB44, "--")</f>
        <v>1.0823692330576773</v>
      </c>
      <c r="W44" s="17" t="s">
        <v>59</v>
      </c>
      <c r="X44" s="33">
        <f>(8*$U$40*$P$26^3)/($U$20*$U$21*U44)</f>
        <v>5.2619310288921355E-2</v>
      </c>
      <c r="Y44" s="33">
        <f>IF($U$24="YES",($U$40*$P$26)/(2*$U$22*1000),($U$40*$P$26)/($U$22*1000))</f>
        <v>0.16874998734375102</v>
      </c>
      <c r="Z44" s="33">
        <v>0</v>
      </c>
      <c r="AA44" s="33">
        <f>$P$26*$U$23/U44</f>
        <v>0.86099993542500497</v>
      </c>
      <c r="AB44" s="9">
        <f>SUM(X44:AA44)</f>
        <v>1.0823692330576773</v>
      </c>
      <c r="AC44" s="1"/>
    </row>
    <row r="45" spans="1:32" ht="11.1" customHeight="1" x14ac:dyDescent="0.25">
      <c r="A45" s="1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3"/>
      <c r="T45" s="17"/>
      <c r="U45" s="17"/>
      <c r="V45" s="17"/>
      <c r="W45" s="17"/>
      <c r="X45" s="17"/>
      <c r="Y45" s="17"/>
      <c r="Z45" s="17"/>
      <c r="AA45" s="13"/>
      <c r="AB45" s="1"/>
      <c r="AC45" s="1"/>
    </row>
    <row r="46" spans="1:32" ht="11.1" customHeight="1" x14ac:dyDescent="0.25">
      <c r="A46" s="1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3"/>
      <c r="T46" s="5" t="s">
        <v>60</v>
      </c>
      <c r="U46" s="5" t="s">
        <v>52</v>
      </c>
      <c r="V46" s="5" t="s">
        <v>53</v>
      </c>
      <c r="W46" s="35"/>
      <c r="X46" s="5" t="s">
        <v>54</v>
      </c>
      <c r="Y46" s="5" t="s">
        <v>55</v>
      </c>
      <c r="Z46" s="5" t="s">
        <v>56</v>
      </c>
      <c r="AA46" s="5" t="s">
        <v>57</v>
      </c>
      <c r="AB46" s="6" t="s">
        <v>58</v>
      </c>
      <c r="AC46" s="1"/>
    </row>
    <row r="47" spans="1:32" ht="11.1" customHeight="1" x14ac:dyDescent="0.25">
      <c r="A47" s="13"/>
      <c r="B47" s="40" t="s">
        <v>62</v>
      </c>
      <c r="C47" s="39" t="s">
        <v>63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7">
        <v>1</v>
      </c>
      <c r="U47" s="36">
        <f>K4</f>
        <v>11.666666866666667</v>
      </c>
      <c r="V47" s="8">
        <f>IFERROR(AB47, "--")</f>
        <v>2.2297290893512439E-2</v>
      </c>
      <c r="W47" s="17" t="s">
        <v>59</v>
      </c>
      <c r="X47" s="33">
        <f>(8*$V$3*$P$12^3)/($U$20*$U$21*U47)</f>
        <v>2.5647494482438401E-4</v>
      </c>
      <c r="Y47" s="33">
        <f>IF($U$24="YES",($V$3*$P$12)/(2*$U$22*1000),($V$3*$P$12)/($U$22*1000))</f>
        <v>2.2040815948688054E-2</v>
      </c>
      <c r="Z47" s="33">
        <v>0</v>
      </c>
      <c r="AA47" s="33">
        <v>0</v>
      </c>
      <c r="AB47" s="9">
        <f>SUM(X47:AA47)</f>
        <v>2.2297290893512439E-2</v>
      </c>
      <c r="AC47" s="1"/>
    </row>
    <row r="48" spans="1:32" ht="11.1" customHeight="1" x14ac:dyDescent="0.25">
      <c r="A48" s="13"/>
      <c r="C48" s="39" t="s">
        <v>225</v>
      </c>
      <c r="D48" s="13"/>
      <c r="E48" s="13"/>
      <c r="F48" s="13"/>
      <c r="G48" s="13"/>
      <c r="H48" s="13"/>
      <c r="I48" s="13"/>
      <c r="J48" s="13"/>
      <c r="S48" s="13"/>
      <c r="T48" s="17"/>
      <c r="U48" s="38"/>
      <c r="V48" s="38"/>
      <c r="W48" s="13"/>
      <c r="X48" s="13"/>
      <c r="Y48" s="13"/>
      <c r="Z48" s="17"/>
      <c r="AA48" s="13"/>
      <c r="AB48" s="1"/>
      <c r="AC48" s="1"/>
    </row>
    <row r="49" spans="1:45" ht="11.1" customHeight="1" x14ac:dyDescent="0.25">
      <c r="A49" s="13"/>
      <c r="B49" s="13"/>
      <c r="C49" s="39" t="s">
        <v>66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  <c r="U49" s="38"/>
      <c r="V49" s="38"/>
      <c r="W49" s="13"/>
      <c r="X49" s="13"/>
      <c r="Y49" s="13"/>
      <c r="Z49" s="13"/>
      <c r="AA49" s="13"/>
      <c r="AB49" s="1"/>
      <c r="AC49" s="1"/>
    </row>
    <row r="50" spans="1:45" ht="11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37" t="s">
        <v>226</v>
      </c>
      <c r="L50" s="37"/>
      <c r="M50" s="37"/>
      <c r="N50" s="37"/>
      <c r="O50" s="37"/>
      <c r="P50" s="37"/>
      <c r="Q50" s="37"/>
      <c r="R50" s="10" t="s">
        <v>61</v>
      </c>
      <c r="S50" s="1"/>
      <c r="T50" s="3"/>
      <c r="U50" s="4"/>
      <c r="V50" s="3"/>
      <c r="W50" s="3"/>
      <c r="X50" s="4"/>
      <c r="Y50" s="3"/>
      <c r="Z50" s="11"/>
      <c r="AA50" s="3"/>
      <c r="AB50" s="3"/>
      <c r="AC50" s="3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 ht="11.1" customHeight="1" x14ac:dyDescent="0.25">
      <c r="A51" s="3"/>
      <c r="B51" s="3"/>
      <c r="C51" s="3"/>
      <c r="D51" s="3"/>
      <c r="E51" s="3"/>
      <c r="F51" s="3"/>
      <c r="G51" s="3"/>
      <c r="H51" s="3"/>
      <c r="I51" s="94" t="str">
        <f>IF(P67="NS","Shear Panel Post and Holdown Combo not Allowed","")</f>
        <v/>
      </c>
      <c r="J51" s="3"/>
      <c r="K51" s="3"/>
      <c r="L51" s="3"/>
      <c r="M51" s="3"/>
      <c r="N51" s="3"/>
      <c r="O51" s="3"/>
      <c r="P51" s="3"/>
      <c r="Q51" s="3"/>
      <c r="R51" s="17"/>
      <c r="S51" s="1"/>
      <c r="T51" s="3"/>
      <c r="U51" s="53" t="s">
        <v>99</v>
      </c>
      <c r="V51" s="1"/>
      <c r="W51" s="3" t="s">
        <v>100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1:45" ht="11.1" customHeight="1" x14ac:dyDescent="0.25">
      <c r="A52" s="3"/>
      <c r="B52" s="27" t="s">
        <v>180</v>
      </c>
      <c r="C52" s="3"/>
      <c r="D52" s="3"/>
      <c r="E52" s="3"/>
      <c r="F52" s="3"/>
      <c r="G52" s="3"/>
      <c r="H52" s="3"/>
      <c r="I52" s="94" t="str">
        <f>IF(U22="NS","Sheathing Panel Thickness and Fastener Combo not Allowed","")</f>
        <v/>
      </c>
      <c r="J52" s="46"/>
      <c r="K52" s="46"/>
      <c r="L52" s="46"/>
      <c r="O52" s="3"/>
      <c r="P52" s="3"/>
      <c r="Q52" s="18" t="s">
        <v>5</v>
      </c>
      <c r="R52" s="19" t="str">
        <f>R2</f>
        <v>2015-036</v>
      </c>
      <c r="T52" s="11"/>
      <c r="U52" s="54" t="s">
        <v>74</v>
      </c>
      <c r="V52" s="55" t="s">
        <v>75</v>
      </c>
      <c r="W52" s="55" t="s">
        <v>76</v>
      </c>
      <c r="X52" s="55" t="s">
        <v>77</v>
      </c>
      <c r="Y52" s="55" t="s">
        <v>78</v>
      </c>
      <c r="Z52" s="55" t="s">
        <v>79</v>
      </c>
      <c r="AA52" s="55" t="s">
        <v>80</v>
      </c>
      <c r="AB52" s="55" t="s">
        <v>81</v>
      </c>
      <c r="AC52" s="55" t="s">
        <v>82</v>
      </c>
      <c r="AD52" s="55" t="s">
        <v>83</v>
      </c>
      <c r="AE52" s="55" t="s">
        <v>84</v>
      </c>
      <c r="AF52" s="55" t="s">
        <v>85</v>
      </c>
      <c r="AG52" s="55" t="s">
        <v>86</v>
      </c>
      <c r="AH52" s="55" t="s">
        <v>87</v>
      </c>
      <c r="AI52" s="56" t="s">
        <v>88</v>
      </c>
      <c r="AJ52" s="56" t="s">
        <v>101</v>
      </c>
      <c r="AK52" s="140" t="s">
        <v>183</v>
      </c>
      <c r="AL52" s="146" t="s">
        <v>191</v>
      </c>
      <c r="AM52" s="11"/>
      <c r="AN52" s="11"/>
      <c r="AO52" s="11"/>
      <c r="AP52" s="11"/>
      <c r="AQ52" s="11"/>
      <c r="AR52" s="11"/>
      <c r="AS52" s="11"/>
    </row>
    <row r="53" spans="1:45" ht="11.1" customHeight="1" x14ac:dyDescent="0.25">
      <c r="A53" s="3"/>
      <c r="B53" s="3" t="s">
        <v>179</v>
      </c>
      <c r="C53" s="3"/>
      <c r="D53" s="3"/>
      <c r="E53" s="3"/>
      <c r="F53" s="3"/>
      <c r="G53" s="3"/>
      <c r="H53" s="48">
        <f>MAX(V8,V14)</f>
        <v>900.00000000000034</v>
      </c>
      <c r="I53" s="3" t="s">
        <v>3</v>
      </c>
      <c r="J53" s="3"/>
      <c r="K53" s="3"/>
      <c r="L53" s="3"/>
      <c r="M53" s="3"/>
      <c r="N53" s="3"/>
      <c r="O53" s="3"/>
      <c r="P53" s="3"/>
      <c r="Q53" s="3"/>
      <c r="R53" s="17"/>
      <c r="T53" s="11"/>
      <c r="U53" s="55" t="s">
        <v>89</v>
      </c>
      <c r="V53" s="96">
        <v>1825</v>
      </c>
      <c r="W53" s="97">
        <v>2145</v>
      </c>
      <c r="X53" s="97">
        <v>2145</v>
      </c>
      <c r="Y53" s="97">
        <v>2145</v>
      </c>
      <c r="Z53" s="97">
        <v>2145</v>
      </c>
      <c r="AA53" s="97">
        <v>2145</v>
      </c>
      <c r="AB53" s="97">
        <v>2145</v>
      </c>
      <c r="AC53" s="97">
        <v>2145</v>
      </c>
      <c r="AD53" s="97">
        <v>1825</v>
      </c>
      <c r="AE53" s="97">
        <v>2145</v>
      </c>
      <c r="AF53" s="97">
        <v>2145</v>
      </c>
      <c r="AG53" s="97">
        <v>1825</v>
      </c>
      <c r="AH53" s="97">
        <v>2145</v>
      </c>
      <c r="AI53" s="97">
        <v>2145</v>
      </c>
      <c r="AJ53" s="98">
        <v>2145</v>
      </c>
      <c r="AK53" s="141">
        <f>1.5+$P$69</f>
        <v>4.5</v>
      </c>
      <c r="AL53" s="149">
        <v>1</v>
      </c>
      <c r="AM53" s="11"/>
      <c r="AN53" s="11"/>
      <c r="AO53" s="11"/>
      <c r="AP53" s="11"/>
      <c r="AQ53" s="11"/>
      <c r="AR53" s="11"/>
      <c r="AS53" s="11"/>
    </row>
    <row r="54" spans="1:45" ht="11.1" customHeight="1" x14ac:dyDescent="0.25">
      <c r="A54" s="3"/>
      <c r="B54" s="3" t="s">
        <v>177</v>
      </c>
      <c r="C54" s="3"/>
      <c r="D54" s="3"/>
      <c r="E54" s="3"/>
      <c r="F54" s="3"/>
      <c r="G54" s="3"/>
      <c r="H54" s="138">
        <f>MAX(F40,M40)</f>
        <v>1.3333334333333333</v>
      </c>
      <c r="I54" s="3" t="s">
        <v>10</v>
      </c>
      <c r="J54" s="3"/>
      <c r="K54" s="3"/>
      <c r="L54" s="3"/>
      <c r="M54" s="3"/>
      <c r="O54" s="2" t="s">
        <v>69</v>
      </c>
      <c r="P54" s="52" t="s">
        <v>68</v>
      </c>
      <c r="Q54" s="17" t="s">
        <v>59</v>
      </c>
      <c r="R54" s="17"/>
      <c r="T54" s="11"/>
      <c r="U54" s="65" t="s">
        <v>90</v>
      </c>
      <c r="V54" s="99" t="s">
        <v>91</v>
      </c>
      <c r="W54" s="100">
        <v>3075</v>
      </c>
      <c r="X54" s="100">
        <v>3075</v>
      </c>
      <c r="Y54" s="100">
        <v>3075</v>
      </c>
      <c r="Z54" s="100">
        <v>3075</v>
      </c>
      <c r="AA54" s="100">
        <v>3075</v>
      </c>
      <c r="AB54" s="100">
        <v>3075</v>
      </c>
      <c r="AC54" s="100">
        <v>3075</v>
      </c>
      <c r="AD54" s="100" t="s">
        <v>91</v>
      </c>
      <c r="AE54" s="100">
        <v>3075</v>
      </c>
      <c r="AF54" s="100">
        <v>3075</v>
      </c>
      <c r="AG54" s="100" t="s">
        <v>91</v>
      </c>
      <c r="AH54" s="100">
        <v>3075</v>
      </c>
      <c r="AI54" s="100">
        <v>3075</v>
      </c>
      <c r="AJ54" s="101">
        <v>3075</v>
      </c>
      <c r="AK54" s="142">
        <f t="shared" ref="AK54:AK59" si="0">1.5+$P$69</f>
        <v>4.5</v>
      </c>
      <c r="AL54" s="147">
        <v>1</v>
      </c>
      <c r="AM54" s="11"/>
      <c r="AN54" s="11"/>
      <c r="AO54" s="11"/>
      <c r="AP54" s="11"/>
      <c r="AQ54" s="11"/>
      <c r="AR54" s="11"/>
      <c r="AS54" s="11"/>
    </row>
    <row r="55" spans="1:45" ht="11.1" customHeight="1" x14ac:dyDescent="0.25">
      <c r="A55" s="3"/>
      <c r="B55" s="3" t="s">
        <v>178</v>
      </c>
      <c r="C55" s="3"/>
      <c r="D55" s="3"/>
      <c r="E55" s="3"/>
      <c r="F55" s="3"/>
      <c r="G55" s="3"/>
      <c r="H55" s="139">
        <f>MAX(V7,V13)</f>
        <v>674.99994937500401</v>
      </c>
      <c r="I55" s="3" t="s">
        <v>8</v>
      </c>
      <c r="J55" s="3"/>
      <c r="K55" s="3"/>
      <c r="L55" s="3"/>
      <c r="M55" s="3"/>
      <c r="O55" s="2" t="s">
        <v>128</v>
      </c>
      <c r="P55" s="17">
        <f>VLOOKUP(P54,AD90:AE91,2,FALSE)</f>
        <v>165</v>
      </c>
      <c r="Q55" s="17" t="s">
        <v>132</v>
      </c>
      <c r="T55" s="11"/>
      <c r="U55" s="65" t="s">
        <v>92</v>
      </c>
      <c r="V55" s="99" t="s">
        <v>91</v>
      </c>
      <c r="W55" s="100">
        <v>4565</v>
      </c>
      <c r="X55" s="100">
        <v>4565</v>
      </c>
      <c r="Y55" s="100">
        <v>4565</v>
      </c>
      <c r="Z55" s="100">
        <v>4565</v>
      </c>
      <c r="AA55" s="100">
        <v>4565</v>
      </c>
      <c r="AB55" s="100">
        <v>4565</v>
      </c>
      <c r="AC55" s="100">
        <v>4565</v>
      </c>
      <c r="AD55" s="100" t="s">
        <v>91</v>
      </c>
      <c r="AE55" s="100">
        <v>4565</v>
      </c>
      <c r="AF55" s="100">
        <v>4565</v>
      </c>
      <c r="AG55" s="100" t="s">
        <v>91</v>
      </c>
      <c r="AH55" s="100">
        <v>4565</v>
      </c>
      <c r="AI55" s="100">
        <v>4565</v>
      </c>
      <c r="AJ55" s="101">
        <v>4565</v>
      </c>
      <c r="AK55" s="142">
        <f t="shared" si="0"/>
        <v>4.5</v>
      </c>
      <c r="AL55" s="147">
        <v>1</v>
      </c>
      <c r="AM55" s="11"/>
      <c r="AN55" s="11"/>
      <c r="AO55" s="11"/>
      <c r="AP55" s="11"/>
      <c r="AQ55" s="11"/>
      <c r="AR55" s="11"/>
      <c r="AS55" s="11"/>
    </row>
    <row r="56" spans="1:45" ht="11.1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O56" s="2" t="s">
        <v>160</v>
      </c>
      <c r="P56" s="50" t="s">
        <v>34</v>
      </c>
      <c r="Q56" s="17"/>
      <c r="R56" s="17"/>
      <c r="T56" s="11"/>
      <c r="U56" s="65" t="s">
        <v>93</v>
      </c>
      <c r="V56" s="99" t="s">
        <v>91</v>
      </c>
      <c r="W56" s="100">
        <v>5645</v>
      </c>
      <c r="X56" s="100">
        <v>5645</v>
      </c>
      <c r="Y56" s="100">
        <v>5645</v>
      </c>
      <c r="Z56" s="100">
        <v>5645</v>
      </c>
      <c r="AA56" s="100">
        <v>5645</v>
      </c>
      <c r="AB56" s="100">
        <v>5645</v>
      </c>
      <c r="AC56" s="100">
        <v>5645</v>
      </c>
      <c r="AD56" s="100" t="s">
        <v>91</v>
      </c>
      <c r="AE56" s="100">
        <v>5645</v>
      </c>
      <c r="AF56" s="100">
        <v>5645</v>
      </c>
      <c r="AG56" s="100" t="s">
        <v>91</v>
      </c>
      <c r="AH56" s="100">
        <v>5645</v>
      </c>
      <c r="AI56" s="100">
        <v>5645</v>
      </c>
      <c r="AJ56" s="101">
        <v>0.115</v>
      </c>
      <c r="AK56" s="142">
        <f t="shared" si="0"/>
        <v>4.5</v>
      </c>
      <c r="AL56" s="147">
        <v>1</v>
      </c>
      <c r="AM56" s="11"/>
      <c r="AN56" s="11"/>
      <c r="AO56" s="11"/>
      <c r="AP56" s="11"/>
      <c r="AQ56" s="11"/>
      <c r="AR56" s="11"/>
      <c r="AS56" s="11"/>
    </row>
    <row r="57" spans="1:45" ht="11.1" customHeight="1" x14ac:dyDescent="0.25">
      <c r="A57" s="3"/>
      <c r="B57" s="27" t="s">
        <v>210</v>
      </c>
      <c r="C57" s="3"/>
      <c r="D57" s="3"/>
      <c r="E57" s="3"/>
      <c r="F57" s="3"/>
      <c r="G57" s="3"/>
      <c r="H57" s="3"/>
      <c r="I57" s="94" t="str">
        <f>IF(U27="NS","Sheathing Panel Thickness and Fastener Combo not Allowed","")</f>
        <v/>
      </c>
      <c r="J57" s="3"/>
      <c r="K57" s="3"/>
      <c r="L57" s="3"/>
      <c r="M57" s="3"/>
      <c r="O57" s="2" t="s">
        <v>201</v>
      </c>
      <c r="P57" s="51">
        <v>3</v>
      </c>
      <c r="Q57" s="17" t="s">
        <v>13</v>
      </c>
      <c r="R57" s="17"/>
      <c r="T57" s="11"/>
      <c r="U57" s="65" t="s">
        <v>94</v>
      </c>
      <c r="V57" s="99" t="s">
        <v>91</v>
      </c>
      <c r="W57" s="100">
        <v>6765</v>
      </c>
      <c r="X57" s="100">
        <v>7870</v>
      </c>
      <c r="Y57" s="100">
        <v>7870</v>
      </c>
      <c r="Z57" s="100">
        <v>6970</v>
      </c>
      <c r="AA57" s="100">
        <v>6970</v>
      </c>
      <c r="AB57" s="100">
        <v>7870</v>
      </c>
      <c r="AC57" s="100">
        <v>7870</v>
      </c>
      <c r="AD57" s="100" t="s">
        <v>91</v>
      </c>
      <c r="AE57" s="100">
        <v>6765</v>
      </c>
      <c r="AF57" s="100">
        <v>7870</v>
      </c>
      <c r="AG57" s="100" t="s">
        <v>91</v>
      </c>
      <c r="AH57" s="100">
        <v>6765</v>
      </c>
      <c r="AI57" s="100">
        <v>7870</v>
      </c>
      <c r="AJ57" s="101">
        <v>7870</v>
      </c>
      <c r="AK57" s="142">
        <f t="shared" si="0"/>
        <v>4.5</v>
      </c>
      <c r="AL57" s="147">
        <v>1</v>
      </c>
      <c r="AM57" s="11"/>
      <c r="AN57" s="11"/>
      <c r="AO57" s="11"/>
      <c r="AP57" s="11"/>
      <c r="AQ57" s="11"/>
      <c r="AR57" s="11"/>
      <c r="AS57" s="11"/>
    </row>
    <row r="58" spans="1:45" ht="11.1" customHeight="1" x14ac:dyDescent="0.25">
      <c r="A58" s="3"/>
      <c r="B58" s="3" t="s">
        <v>211</v>
      </c>
      <c r="C58" s="3"/>
      <c r="D58" s="3"/>
      <c r="E58" s="3"/>
      <c r="F58" s="3"/>
      <c r="G58" s="3"/>
      <c r="H58" s="48">
        <f>H53*P26*12</f>
        <v>75600.000000000029</v>
      </c>
      <c r="I58" s="3" t="s">
        <v>171</v>
      </c>
      <c r="J58" s="3"/>
      <c r="K58" s="3"/>
      <c r="L58" s="3"/>
      <c r="M58" s="3"/>
      <c r="O58" s="2" t="s">
        <v>159</v>
      </c>
      <c r="P58" s="50" t="s">
        <v>70</v>
      </c>
      <c r="Q58" s="17"/>
      <c r="R58" s="17"/>
      <c r="T58" s="11"/>
      <c r="U58" s="65" t="s">
        <v>95</v>
      </c>
      <c r="V58" s="99" t="s">
        <v>91</v>
      </c>
      <c r="W58" s="100" t="s">
        <v>91</v>
      </c>
      <c r="X58" s="100" t="s">
        <v>91</v>
      </c>
      <c r="Y58" s="100">
        <v>9535</v>
      </c>
      <c r="Z58" s="100" t="s">
        <v>91</v>
      </c>
      <c r="AA58" s="100">
        <v>9535</v>
      </c>
      <c r="AB58" s="100">
        <v>9535</v>
      </c>
      <c r="AC58" s="100">
        <v>11175</v>
      </c>
      <c r="AD58" s="100" t="s">
        <v>91</v>
      </c>
      <c r="AE58" s="100" t="s">
        <v>91</v>
      </c>
      <c r="AF58" s="100" t="s">
        <v>91</v>
      </c>
      <c r="AG58" s="100" t="s">
        <v>91</v>
      </c>
      <c r="AH58" s="100" t="s">
        <v>91</v>
      </c>
      <c r="AI58" s="100" t="s">
        <v>91</v>
      </c>
      <c r="AJ58" s="101">
        <v>9535</v>
      </c>
      <c r="AK58" s="142">
        <f t="shared" si="0"/>
        <v>4.5</v>
      </c>
      <c r="AL58" s="147">
        <v>1</v>
      </c>
      <c r="AM58" s="11"/>
      <c r="AN58" s="11"/>
      <c r="AO58" s="11"/>
      <c r="AP58" s="11"/>
      <c r="AQ58" s="11"/>
      <c r="AR58" s="11"/>
      <c r="AS58" s="11"/>
    </row>
    <row r="59" spans="1:45" ht="11.1" customHeight="1" x14ac:dyDescent="0.25">
      <c r="A59" s="3"/>
      <c r="B59" s="3" t="s">
        <v>212</v>
      </c>
      <c r="C59" s="3"/>
      <c r="D59" s="3"/>
      <c r="E59" s="3"/>
      <c r="F59" s="3"/>
      <c r="G59" s="3"/>
      <c r="H59" s="48">
        <f>H58*AE111</f>
        <v>43348.176705269245</v>
      </c>
      <c r="I59" s="3" t="s">
        <v>171</v>
      </c>
      <c r="J59" s="153">
        <f>AE111</f>
        <v>0.57338858075752952</v>
      </c>
      <c r="K59" s="3"/>
      <c r="L59" s="3"/>
      <c r="M59" s="2"/>
      <c r="O59" s="2" t="s">
        <v>123</v>
      </c>
      <c r="P59" s="17">
        <f>VLOOKUP(P54,AD83:AF84,MATCH(P58,AD82:AF82,0),FALSE)</f>
        <v>73</v>
      </c>
      <c r="Q59" s="17" t="s">
        <v>124</v>
      </c>
      <c r="R59" s="17"/>
      <c r="T59" s="11"/>
      <c r="U59" s="65" t="s">
        <v>96</v>
      </c>
      <c r="V59" s="99" t="s">
        <v>91</v>
      </c>
      <c r="W59" s="100" t="s">
        <v>91</v>
      </c>
      <c r="X59" s="100" t="s">
        <v>91</v>
      </c>
      <c r="Y59" s="100">
        <v>14445</v>
      </c>
      <c r="Z59" s="100" t="s">
        <v>91</v>
      </c>
      <c r="AA59" s="100">
        <v>10770</v>
      </c>
      <c r="AB59" s="100">
        <v>14445</v>
      </c>
      <c r="AC59" s="100">
        <v>14390</v>
      </c>
      <c r="AD59" s="100" t="s">
        <v>91</v>
      </c>
      <c r="AE59" s="100" t="s">
        <v>91</v>
      </c>
      <c r="AF59" s="100" t="s">
        <v>91</v>
      </c>
      <c r="AG59" s="100" t="s">
        <v>91</v>
      </c>
      <c r="AH59" s="100" t="s">
        <v>91</v>
      </c>
      <c r="AI59" s="100" t="s">
        <v>91</v>
      </c>
      <c r="AJ59" s="101">
        <v>14445</v>
      </c>
      <c r="AK59" s="142">
        <f t="shared" si="0"/>
        <v>4.5</v>
      </c>
      <c r="AL59" s="147">
        <v>1</v>
      </c>
      <c r="AM59" s="11"/>
      <c r="AN59" s="11"/>
      <c r="AO59" s="11"/>
      <c r="AP59" s="11"/>
      <c r="AQ59" s="11"/>
      <c r="AR59" s="11"/>
      <c r="AS59" s="11"/>
    </row>
    <row r="60" spans="1:45" ht="11.1" customHeight="1" x14ac:dyDescent="0.25">
      <c r="A60" s="3"/>
      <c r="B60" s="3" t="s">
        <v>213</v>
      </c>
      <c r="C60" s="3"/>
      <c r="D60" s="3"/>
      <c r="E60" s="3"/>
      <c r="F60" s="3"/>
      <c r="G60" s="3"/>
      <c r="H60" s="48">
        <f>H58*AE112</f>
        <v>32251.823294730773</v>
      </c>
      <c r="I60" s="3" t="s">
        <v>171</v>
      </c>
      <c r="J60" s="153">
        <f>AE112</f>
        <v>0.42661141924247037</v>
      </c>
      <c r="K60" s="3"/>
      <c r="L60" s="3"/>
      <c r="M60" s="2"/>
      <c r="R60" s="17"/>
      <c r="T60" s="11"/>
      <c r="U60" s="65" t="s">
        <v>97</v>
      </c>
      <c r="V60" s="99" t="s">
        <v>91</v>
      </c>
      <c r="W60" s="100">
        <v>3145</v>
      </c>
      <c r="X60" s="100">
        <v>3145</v>
      </c>
      <c r="Y60" s="100">
        <v>3145</v>
      </c>
      <c r="Z60" s="100">
        <v>3145</v>
      </c>
      <c r="AA60" s="100">
        <v>3145</v>
      </c>
      <c r="AB60" s="100">
        <v>3145</v>
      </c>
      <c r="AC60" s="100">
        <v>3145</v>
      </c>
      <c r="AD60" s="100" t="s">
        <v>91</v>
      </c>
      <c r="AE60" s="100">
        <v>3145</v>
      </c>
      <c r="AF60" s="100">
        <v>3145</v>
      </c>
      <c r="AG60" s="100" t="s">
        <v>91</v>
      </c>
      <c r="AH60" s="100">
        <v>3145</v>
      </c>
      <c r="AI60" s="100">
        <v>3145</v>
      </c>
      <c r="AJ60" s="101">
        <v>3145</v>
      </c>
      <c r="AK60" s="142">
        <v>3</v>
      </c>
      <c r="AL60" s="147">
        <f>IF(P79="6"" Stemwall",0.651828,1)</f>
        <v>0.65182799999999996</v>
      </c>
      <c r="AM60" s="11"/>
      <c r="AN60" s="11"/>
      <c r="AO60" s="11"/>
      <c r="AP60" s="11"/>
      <c r="AQ60" s="11"/>
      <c r="AR60" s="11"/>
      <c r="AS60" s="11"/>
    </row>
    <row r="61" spans="1:45" ht="11.1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9"/>
      <c r="O61" s="2" t="s">
        <v>71</v>
      </c>
      <c r="P61" s="85">
        <v>9.25</v>
      </c>
      <c r="Q61" s="17" t="s">
        <v>13</v>
      </c>
      <c r="R61" s="17"/>
      <c r="T61" s="11"/>
      <c r="U61" s="66" t="s">
        <v>98</v>
      </c>
      <c r="V61" s="102" t="s">
        <v>91</v>
      </c>
      <c r="W61" s="103">
        <v>4210</v>
      </c>
      <c r="X61" s="103">
        <v>4210</v>
      </c>
      <c r="Y61" s="103">
        <v>4210</v>
      </c>
      <c r="Z61" s="103">
        <v>4210</v>
      </c>
      <c r="AA61" s="103">
        <v>4210</v>
      </c>
      <c r="AB61" s="103">
        <v>4210</v>
      </c>
      <c r="AC61" s="103">
        <v>4210</v>
      </c>
      <c r="AD61" s="103" t="s">
        <v>91</v>
      </c>
      <c r="AE61" s="103">
        <v>4210</v>
      </c>
      <c r="AF61" s="103">
        <v>4210</v>
      </c>
      <c r="AG61" s="103" t="s">
        <v>91</v>
      </c>
      <c r="AH61" s="103">
        <v>4210</v>
      </c>
      <c r="AI61" s="103">
        <v>4210</v>
      </c>
      <c r="AJ61" s="104">
        <v>4210</v>
      </c>
      <c r="AK61" s="143">
        <v>3</v>
      </c>
      <c r="AL61" s="148">
        <f>IF(P79="6"" Stemwall",0.760095,1)</f>
        <v>0.76009499999999997</v>
      </c>
      <c r="AM61" s="11"/>
      <c r="AN61" s="11"/>
      <c r="AO61" s="11"/>
      <c r="AP61" s="11"/>
      <c r="AQ61" s="11"/>
      <c r="AR61" s="11"/>
      <c r="AS61" s="11"/>
    </row>
    <row r="62" spans="1:45" ht="11.1" customHeight="1" x14ac:dyDescent="0.25">
      <c r="A62" s="3"/>
      <c r="B62" s="27" t="s">
        <v>127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49"/>
      <c r="O62" s="2" t="s">
        <v>161</v>
      </c>
      <c r="P62" s="155" t="s">
        <v>113</v>
      </c>
      <c r="Q62" s="155"/>
      <c r="R62" s="39" t="s">
        <v>227</v>
      </c>
      <c r="T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45" ht="11.1" customHeight="1" x14ac:dyDescent="0.25">
      <c r="A63" s="3"/>
      <c r="B63" s="120" t="s">
        <v>138</v>
      </c>
      <c r="C63" s="3"/>
      <c r="D63" s="3"/>
      <c r="E63" s="3"/>
      <c r="F63" s="3"/>
      <c r="G63" s="3"/>
      <c r="H63" s="3"/>
      <c r="J63" s="48">
        <f>P55*P71*12*AA34</f>
        <v>3168</v>
      </c>
      <c r="K63" s="3" t="s">
        <v>8</v>
      </c>
      <c r="L63" s="3"/>
      <c r="M63" s="3"/>
      <c r="O63" s="2" t="s">
        <v>137</v>
      </c>
      <c r="P63" s="26">
        <f>VLOOKUP(P62,AA81:AB90,2,FALSE)</f>
        <v>3455</v>
      </c>
      <c r="Q63" s="17" t="s">
        <v>3</v>
      </c>
      <c r="R63" s="154" t="str">
        <f>IF(P63&gt;AE126,"OK","NG")</f>
        <v>OK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45" ht="11.1" customHeight="1" x14ac:dyDescent="0.25">
      <c r="A64" s="3"/>
      <c r="B64" s="3"/>
      <c r="C64" s="26">
        <f>J63</f>
        <v>3168</v>
      </c>
      <c r="D64" s="17" t="s">
        <v>8</v>
      </c>
      <c r="E64" s="2" t="str">
        <f>IF(C64&lt;F64,"&lt;","&gt;")</f>
        <v>&gt;</v>
      </c>
      <c r="F64" s="26">
        <f>MAX(V7,V13)</f>
        <v>674.99994937500401</v>
      </c>
      <c r="G64" s="122" t="s">
        <v>8</v>
      </c>
      <c r="H64" s="79"/>
      <c r="I64" s="123" t="str">
        <f>IF(F64&lt;C64,"OK","NG")</f>
        <v>OK</v>
      </c>
      <c r="J64" s="3"/>
      <c r="K64" s="3"/>
      <c r="L64" s="3"/>
      <c r="M64" s="3"/>
      <c r="O64" s="2" t="s">
        <v>154</v>
      </c>
      <c r="P64" s="50" t="s">
        <v>34</v>
      </c>
      <c r="Q64" s="79"/>
      <c r="R64" s="17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ht="11.1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O65" s="79"/>
      <c r="P65" s="79"/>
      <c r="Q65" s="79"/>
      <c r="R65" s="17"/>
      <c r="T65" s="11"/>
      <c r="U65" s="53" t="s">
        <v>73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ht="11.1" customHeight="1" x14ac:dyDescent="0.25">
      <c r="A66" s="3"/>
      <c r="B66" s="27" t="s">
        <v>139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2" t="s">
        <v>152</v>
      </c>
      <c r="P66" s="155" t="s">
        <v>98</v>
      </c>
      <c r="Q66" s="155"/>
      <c r="R66" s="39" t="s">
        <v>227</v>
      </c>
      <c r="T66" s="11"/>
      <c r="U66" s="54" t="s">
        <v>74</v>
      </c>
      <c r="V66" s="55" t="s">
        <v>75</v>
      </c>
      <c r="W66" s="55" t="s">
        <v>76</v>
      </c>
      <c r="X66" s="55" t="s">
        <v>77</v>
      </c>
      <c r="Y66" s="55" t="s">
        <v>78</v>
      </c>
      <c r="Z66" s="55" t="s">
        <v>79</v>
      </c>
      <c r="AA66" s="55" t="s">
        <v>80</v>
      </c>
      <c r="AB66" s="55" t="s">
        <v>81</v>
      </c>
      <c r="AC66" s="55" t="s">
        <v>82</v>
      </c>
      <c r="AD66" s="55" t="s">
        <v>83</v>
      </c>
      <c r="AE66" s="55" t="s">
        <v>84</v>
      </c>
      <c r="AF66" s="55" t="s">
        <v>85</v>
      </c>
      <c r="AG66" s="55" t="s">
        <v>86</v>
      </c>
      <c r="AH66" s="55" t="s">
        <v>87</v>
      </c>
      <c r="AI66" s="56" t="s">
        <v>88</v>
      </c>
      <c r="AJ66" s="56" t="s">
        <v>101</v>
      </c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ht="11.1" customHeight="1" x14ac:dyDescent="0.25">
      <c r="A67" s="3"/>
      <c r="B67" s="120" t="str">
        <f>CONCATENATE("Number of Nails (based on two rows at ",P57,""" o/c)  =")</f>
        <v>Number of Nails (based on two rows at 3" o/c)  =</v>
      </c>
      <c r="J67" s="21">
        <f>ROUND((MAX(F40,M40)*12)/P57 +1,0)*2</f>
        <v>12</v>
      </c>
      <c r="K67" s="17" t="s">
        <v>140</v>
      </c>
      <c r="L67" s="3"/>
      <c r="M67" s="3"/>
      <c r="O67" s="2" t="s">
        <v>136</v>
      </c>
      <c r="P67" s="106">
        <f>VLOOKUP(P66,U53:AJ61,MATCH(P68,U52:AJ52,0),FALSE)*VLOOKUP(P66,U53:AL61,18,FALSE)</f>
        <v>3199.9999499999999</v>
      </c>
      <c r="Q67" s="17" t="s">
        <v>3</v>
      </c>
      <c r="R67" s="154" t="str">
        <f>IF(P67&gt;AE117,"OK","NG")</f>
        <v>OK</v>
      </c>
      <c r="T67" s="11"/>
      <c r="U67" s="55" t="s">
        <v>89</v>
      </c>
      <c r="V67" s="57">
        <v>0.105</v>
      </c>
      <c r="W67" s="58">
        <v>0.128</v>
      </c>
      <c r="X67" s="58">
        <v>0.128</v>
      </c>
      <c r="Y67" s="58">
        <v>0.128</v>
      </c>
      <c r="Z67" s="58">
        <v>0.128</v>
      </c>
      <c r="AA67" s="58">
        <v>0.128</v>
      </c>
      <c r="AB67" s="58">
        <v>0.128</v>
      </c>
      <c r="AC67" s="58">
        <v>0.128</v>
      </c>
      <c r="AD67" s="58">
        <v>0.105</v>
      </c>
      <c r="AE67" s="58">
        <v>0.128</v>
      </c>
      <c r="AF67" s="58">
        <v>0.128</v>
      </c>
      <c r="AG67" s="58">
        <v>0.105</v>
      </c>
      <c r="AH67" s="58">
        <v>0.128</v>
      </c>
      <c r="AI67" s="58">
        <v>0.128</v>
      </c>
      <c r="AJ67" s="59">
        <v>0.128</v>
      </c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ht="11.1" customHeight="1" x14ac:dyDescent="0.25">
      <c r="A68" s="3"/>
      <c r="B68" s="120" t="s">
        <v>162</v>
      </c>
      <c r="C68" s="3"/>
      <c r="D68" s="3"/>
      <c r="E68" s="3"/>
      <c r="F68" s="3"/>
      <c r="G68" s="3"/>
      <c r="H68" s="3"/>
      <c r="J68" s="48">
        <f>P59*P71*J67*AA34</f>
        <v>1401.6000000000001</v>
      </c>
      <c r="K68" s="3" t="s">
        <v>3</v>
      </c>
      <c r="L68" s="3"/>
      <c r="M68" s="3"/>
      <c r="O68" s="2" t="s">
        <v>153</v>
      </c>
      <c r="P68" s="155" t="s">
        <v>76</v>
      </c>
      <c r="Q68" s="155"/>
      <c r="R68" s="17"/>
      <c r="T68" s="11"/>
      <c r="U68" s="65" t="s">
        <v>90</v>
      </c>
      <c r="V68" s="60" t="s">
        <v>91</v>
      </c>
      <c r="W68" s="61">
        <v>8.7999999999999995E-2</v>
      </c>
      <c r="X68" s="61">
        <v>8.7999999999999995E-2</v>
      </c>
      <c r="Y68" s="61">
        <v>8.7999999999999995E-2</v>
      </c>
      <c r="Z68" s="61">
        <v>8.7999999999999995E-2</v>
      </c>
      <c r="AA68" s="61">
        <v>8.7999999999999995E-2</v>
      </c>
      <c r="AB68" s="61">
        <v>8.7999999999999995E-2</v>
      </c>
      <c r="AC68" s="61">
        <v>8.7999999999999995E-2</v>
      </c>
      <c r="AD68" s="62" t="s">
        <v>91</v>
      </c>
      <c r="AE68" s="61">
        <v>8.7999999999999995E-2</v>
      </c>
      <c r="AF68" s="61">
        <v>8.7999999999999995E-2</v>
      </c>
      <c r="AG68" s="62" t="s">
        <v>91</v>
      </c>
      <c r="AH68" s="61">
        <v>8.7999999999999995E-2</v>
      </c>
      <c r="AI68" s="61">
        <v>8.7999999999999995E-2</v>
      </c>
      <c r="AJ68" s="63">
        <v>8.7999999999999995E-2</v>
      </c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 ht="11.1" customHeight="1" x14ac:dyDescent="0.25">
      <c r="A69" s="3"/>
      <c r="B69" s="3"/>
      <c r="C69" s="26">
        <f>J68</f>
        <v>1401.6000000000001</v>
      </c>
      <c r="D69" s="17" t="s">
        <v>3</v>
      </c>
      <c r="E69" s="2" t="str">
        <f>IF(C69&lt;F69,"&lt;","&gt;")</f>
        <v>&gt;</v>
      </c>
      <c r="F69" s="26">
        <f>MAX(V8,V14)</f>
        <v>900.00000000000034</v>
      </c>
      <c r="G69" s="122" t="s">
        <v>3</v>
      </c>
      <c r="H69" s="79"/>
      <c r="I69" s="123" t="str">
        <f>IF(F69&lt;C69,"OK","NG")</f>
        <v>OK</v>
      </c>
      <c r="J69" s="3"/>
      <c r="K69" s="3"/>
      <c r="L69" s="3"/>
      <c r="M69" s="3"/>
      <c r="O69" s="2" t="s">
        <v>118</v>
      </c>
      <c r="P69" s="22">
        <f>VLOOKUP(P68,V81:Y95,2,FALSE)</f>
        <v>3</v>
      </c>
      <c r="Q69" s="3" t="s">
        <v>13</v>
      </c>
      <c r="R69" s="17"/>
      <c r="T69" s="11"/>
      <c r="U69" s="65" t="s">
        <v>92</v>
      </c>
      <c r="V69" s="60" t="s">
        <v>91</v>
      </c>
      <c r="W69" s="61">
        <v>0.114</v>
      </c>
      <c r="X69" s="61">
        <v>0.114</v>
      </c>
      <c r="Y69" s="61">
        <v>0.114</v>
      </c>
      <c r="Z69" s="61">
        <v>0.114</v>
      </c>
      <c r="AA69" s="61">
        <v>0.114</v>
      </c>
      <c r="AB69" s="61">
        <v>0.114</v>
      </c>
      <c r="AC69" s="61">
        <v>0.114</v>
      </c>
      <c r="AD69" s="62" t="s">
        <v>91</v>
      </c>
      <c r="AE69" s="61">
        <v>0.114</v>
      </c>
      <c r="AF69" s="61">
        <v>0.114</v>
      </c>
      <c r="AG69" s="62" t="s">
        <v>91</v>
      </c>
      <c r="AH69" s="61">
        <v>0.114</v>
      </c>
      <c r="AI69" s="61">
        <v>0.114</v>
      </c>
      <c r="AJ69" s="63">
        <v>0.114</v>
      </c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ht="11.1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17"/>
      <c r="T70" s="11"/>
      <c r="U70" s="65" t="s">
        <v>93</v>
      </c>
      <c r="V70" s="60" t="s">
        <v>91</v>
      </c>
      <c r="W70" s="62">
        <v>0.115</v>
      </c>
      <c r="X70" s="62">
        <v>0.115</v>
      </c>
      <c r="Y70" s="62">
        <v>0.115</v>
      </c>
      <c r="Z70" s="62">
        <v>0.115</v>
      </c>
      <c r="AA70" s="62">
        <v>0.115</v>
      </c>
      <c r="AB70" s="62">
        <v>0.115</v>
      </c>
      <c r="AC70" s="62">
        <v>0.115</v>
      </c>
      <c r="AD70" s="62" t="s">
        <v>91</v>
      </c>
      <c r="AE70" s="62">
        <v>0.115</v>
      </c>
      <c r="AF70" s="62">
        <v>0.115</v>
      </c>
      <c r="AG70" s="62" t="s">
        <v>91</v>
      </c>
      <c r="AH70" s="62">
        <v>0.115</v>
      </c>
      <c r="AI70" s="62">
        <v>0.115</v>
      </c>
      <c r="AJ70" s="64">
        <v>0.115</v>
      </c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ht="11.1" customHeight="1" x14ac:dyDescent="0.25">
      <c r="A71" s="3"/>
      <c r="B71" s="27" t="s">
        <v>163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2" t="s">
        <v>133</v>
      </c>
      <c r="P71" s="121">
        <v>1.6</v>
      </c>
      <c r="Q71" s="3" t="s">
        <v>134</v>
      </c>
      <c r="R71" s="17"/>
      <c r="T71" s="11"/>
      <c r="U71" s="65" t="s">
        <v>94</v>
      </c>
      <c r="V71" s="60" t="s">
        <v>91</v>
      </c>
      <c r="W71" s="62">
        <v>8.4000000000000005E-2</v>
      </c>
      <c r="X71" s="62">
        <v>0.113</v>
      </c>
      <c r="Y71" s="62">
        <v>0.113</v>
      </c>
      <c r="Z71" s="62">
        <v>0.11600000000000001</v>
      </c>
      <c r="AA71" s="62">
        <v>0.11600000000000001</v>
      </c>
      <c r="AB71" s="62">
        <v>0.113</v>
      </c>
      <c r="AC71" s="62">
        <v>0.113</v>
      </c>
      <c r="AD71" s="62" t="s">
        <v>91</v>
      </c>
      <c r="AE71" s="62">
        <v>8.4000000000000005E-2</v>
      </c>
      <c r="AF71" s="62">
        <v>0.113</v>
      </c>
      <c r="AG71" s="62" t="s">
        <v>91</v>
      </c>
      <c r="AH71" s="62">
        <v>8.4000000000000005E-2</v>
      </c>
      <c r="AI71" s="62">
        <v>0.113</v>
      </c>
      <c r="AJ71" s="64">
        <v>0.113</v>
      </c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ht="11.1" customHeight="1" x14ac:dyDescent="0.25">
      <c r="A72" s="3"/>
      <c r="B72" s="120" t="s">
        <v>164</v>
      </c>
      <c r="C72" s="3"/>
      <c r="D72" s="3"/>
      <c r="E72" s="3"/>
      <c r="F72" s="3"/>
      <c r="G72" s="3"/>
      <c r="H72" s="3"/>
      <c r="J72" s="48">
        <f>P71*P76*P74</f>
        <v>1712</v>
      </c>
      <c r="K72" s="3" t="s">
        <v>3</v>
      </c>
      <c r="L72" s="3"/>
      <c r="M72" s="3"/>
      <c r="N72" s="3"/>
      <c r="O72" s="3"/>
      <c r="P72" s="3"/>
      <c r="Q72" s="3"/>
      <c r="R72" s="17"/>
      <c r="T72" s="11"/>
      <c r="U72" s="65" t="s">
        <v>95</v>
      </c>
      <c r="V72" s="60" t="s">
        <v>91</v>
      </c>
      <c r="W72" s="62" t="s">
        <v>91</v>
      </c>
      <c r="X72" s="62" t="s">
        <v>91</v>
      </c>
      <c r="Y72" s="62">
        <v>0.13700000000000001</v>
      </c>
      <c r="Z72" s="62" t="s">
        <v>91</v>
      </c>
      <c r="AA72" s="62">
        <v>0.13700000000000001</v>
      </c>
      <c r="AB72" s="62">
        <v>0.13700000000000001</v>
      </c>
      <c r="AC72" s="62">
        <v>0.13700000000000001</v>
      </c>
      <c r="AD72" s="62" t="s">
        <v>91</v>
      </c>
      <c r="AE72" s="62" t="s">
        <v>91</v>
      </c>
      <c r="AF72" s="62" t="s">
        <v>91</v>
      </c>
      <c r="AG72" s="62" t="s">
        <v>91</v>
      </c>
      <c r="AH72" s="62" t="s">
        <v>91</v>
      </c>
      <c r="AI72" s="62" t="s">
        <v>91</v>
      </c>
      <c r="AJ72" s="64">
        <v>0.13700000000000001</v>
      </c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ht="11.1" customHeight="1" x14ac:dyDescent="0.25">
      <c r="A73" s="3"/>
      <c r="B73" s="3"/>
      <c r="C73" s="26">
        <f>J72</f>
        <v>1712</v>
      </c>
      <c r="D73" s="17" t="s">
        <v>3</v>
      </c>
      <c r="E73" s="2" t="str">
        <f>IF(C73&lt;F73,"&lt;","&gt;")</f>
        <v>&gt;</v>
      </c>
      <c r="F73" s="26">
        <f>MAX(V8,V14)</f>
        <v>900.00000000000034</v>
      </c>
      <c r="G73" s="122" t="s">
        <v>3</v>
      </c>
      <c r="H73" s="79"/>
      <c r="I73" s="123" t="str">
        <f>IF(F73&lt;C73,"OK","NG")</f>
        <v>OK</v>
      </c>
      <c r="J73" s="3"/>
      <c r="K73" s="3"/>
      <c r="L73" s="3"/>
      <c r="M73" s="3"/>
      <c r="N73" s="3"/>
      <c r="O73" s="2" t="s">
        <v>142</v>
      </c>
      <c r="P73" s="50" t="s">
        <v>146</v>
      </c>
      <c r="Q73" s="3"/>
      <c r="R73" s="17"/>
      <c r="T73" s="11"/>
      <c r="U73" s="65" t="s">
        <v>96</v>
      </c>
      <c r="V73" s="60" t="s">
        <v>91</v>
      </c>
      <c r="W73" s="62" t="s">
        <v>91</v>
      </c>
      <c r="X73" s="62" t="s">
        <v>91</v>
      </c>
      <c r="Y73" s="62">
        <v>0.17699999999999999</v>
      </c>
      <c r="Z73" s="62" t="s">
        <v>91</v>
      </c>
      <c r="AA73" s="62">
        <v>0.122</v>
      </c>
      <c r="AB73" s="62">
        <v>0.17699999999999999</v>
      </c>
      <c r="AC73" s="62">
        <v>0.17699999999999999</v>
      </c>
      <c r="AD73" s="62" t="s">
        <v>91</v>
      </c>
      <c r="AE73" s="62" t="s">
        <v>91</v>
      </c>
      <c r="AF73" s="62" t="s">
        <v>91</v>
      </c>
      <c r="AG73" s="62" t="s">
        <v>91</v>
      </c>
      <c r="AH73" s="62" t="s">
        <v>91</v>
      </c>
      <c r="AI73" s="62" t="s">
        <v>91</v>
      </c>
      <c r="AJ73" s="64">
        <v>0.17699999999999999</v>
      </c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ht="11.1" customHeight="1" x14ac:dyDescent="0.25">
      <c r="A74" s="3"/>
      <c r="L74" s="3"/>
      <c r="M74" s="3"/>
      <c r="N74" s="3"/>
      <c r="O74" s="47" t="s">
        <v>156</v>
      </c>
      <c r="P74" s="124">
        <v>1</v>
      </c>
      <c r="Q74" s="1"/>
      <c r="R74" s="17"/>
      <c r="T74" s="11"/>
      <c r="U74" s="65" t="s">
        <v>97</v>
      </c>
      <c r="V74" s="60" t="s">
        <v>91</v>
      </c>
      <c r="W74" s="62">
        <v>0.14599999999999999</v>
      </c>
      <c r="X74" s="62">
        <v>0.14599999999999999</v>
      </c>
      <c r="Y74" s="62">
        <v>0.14599999999999999</v>
      </c>
      <c r="Z74" s="62">
        <v>0.14599999999999999</v>
      </c>
      <c r="AA74" s="62">
        <v>0.14599999999999999</v>
      </c>
      <c r="AB74" s="62">
        <v>0.14599999999999999</v>
      </c>
      <c r="AC74" s="62">
        <v>0.14599999999999999</v>
      </c>
      <c r="AD74" s="62" t="s">
        <v>91</v>
      </c>
      <c r="AE74" s="62">
        <v>0.14599999999999999</v>
      </c>
      <c r="AF74" s="62">
        <v>0.14599999999999999</v>
      </c>
      <c r="AG74" s="62" t="s">
        <v>91</v>
      </c>
      <c r="AH74" s="62">
        <v>0.14599999999999999</v>
      </c>
      <c r="AI74" s="62">
        <v>0.14599999999999999</v>
      </c>
      <c r="AJ74" s="64">
        <v>0.14599999999999999</v>
      </c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 ht="11.1" customHeight="1" x14ac:dyDescent="0.25">
      <c r="A75" s="3"/>
      <c r="B75" s="27" t="s">
        <v>166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 t="s">
        <v>155</v>
      </c>
      <c r="P75" s="124">
        <v>0.625</v>
      </c>
      <c r="Q75" s="122" t="s">
        <v>59</v>
      </c>
      <c r="R75" s="17"/>
      <c r="T75" s="11"/>
      <c r="U75" s="66" t="s">
        <v>98</v>
      </c>
      <c r="V75" s="67" t="s">
        <v>91</v>
      </c>
      <c r="W75" s="68">
        <v>0.16400000000000001</v>
      </c>
      <c r="X75" s="68">
        <v>0.16400000000000001</v>
      </c>
      <c r="Y75" s="68">
        <v>0.16400000000000001</v>
      </c>
      <c r="Z75" s="68">
        <v>0.16400000000000001</v>
      </c>
      <c r="AA75" s="68">
        <v>0.16400000000000001</v>
      </c>
      <c r="AB75" s="68">
        <v>0.16400000000000001</v>
      </c>
      <c r="AC75" s="68">
        <v>0.16400000000000001</v>
      </c>
      <c r="AD75" s="68" t="s">
        <v>91</v>
      </c>
      <c r="AE75" s="68">
        <v>0.16400000000000001</v>
      </c>
      <c r="AF75" s="68">
        <v>0.16400000000000001</v>
      </c>
      <c r="AG75" s="68" t="s">
        <v>91</v>
      </c>
      <c r="AH75" s="68">
        <v>0.16400000000000001</v>
      </c>
      <c r="AI75" s="68">
        <v>0.16400000000000001</v>
      </c>
      <c r="AJ75" s="69">
        <v>0.16400000000000001</v>
      </c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ht="11.1" customHeight="1" x14ac:dyDescent="0.25">
      <c r="A76" s="3"/>
      <c r="B76" s="120" t="s">
        <v>168</v>
      </c>
      <c r="C76" s="3"/>
      <c r="D76" s="3"/>
      <c r="E76" s="3"/>
      <c r="F76" s="3"/>
      <c r="G76" s="3"/>
      <c r="H76" s="3"/>
      <c r="I76" s="3"/>
      <c r="J76" s="136">
        <f>(AA37*(MAX(M40,F40)*12)^2)/6</f>
        <v>18.666669466666772</v>
      </c>
      <c r="K76" s="17" t="s">
        <v>167</v>
      </c>
      <c r="L76" s="3"/>
      <c r="M76" s="2"/>
      <c r="O76" s="2" t="s">
        <v>157</v>
      </c>
      <c r="P76" s="26">
        <f>VLOOKUP(P75,V101:Z106,MATCH(P73,V100:Z100,0),FALSE)</f>
        <v>1070</v>
      </c>
      <c r="Q76" s="17" t="s">
        <v>158</v>
      </c>
      <c r="R76" s="17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ht="11.1" customHeight="1" x14ac:dyDescent="0.25">
      <c r="A77" s="3"/>
      <c r="B77" s="120" t="s">
        <v>170</v>
      </c>
      <c r="C77" s="3"/>
      <c r="D77" s="3"/>
      <c r="E77" s="3"/>
      <c r="F77" s="3"/>
      <c r="G77" s="3"/>
      <c r="H77" s="3"/>
      <c r="I77" s="3"/>
      <c r="J77" s="48">
        <f>P78*P71*J76*AA34</f>
        <v>17920.002688000102</v>
      </c>
      <c r="K77" s="17" t="s">
        <v>171</v>
      </c>
      <c r="L77" s="3"/>
      <c r="M77" s="3"/>
      <c r="N77" s="3"/>
      <c r="O77" s="3"/>
      <c r="P77" s="3"/>
      <c r="Q77" s="3"/>
      <c r="R77" s="17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45" ht="11.1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 t="s">
        <v>202</v>
      </c>
      <c r="P78" s="28">
        <v>600</v>
      </c>
      <c r="Q78" s="17" t="s">
        <v>181</v>
      </c>
      <c r="R78" s="17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45" ht="11.1" customHeight="1" x14ac:dyDescent="0.25">
      <c r="A79" s="3"/>
      <c r="B79" s="27" t="s">
        <v>172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 t="s">
        <v>186</v>
      </c>
      <c r="P79" s="157" t="s">
        <v>189</v>
      </c>
      <c r="Q79" s="157"/>
      <c r="R79" s="17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45" ht="11.1" customHeight="1" x14ac:dyDescent="0.25">
      <c r="A80" s="3"/>
      <c r="B80" s="120" t="s">
        <v>175</v>
      </c>
      <c r="C80" s="3"/>
      <c r="D80" s="3"/>
      <c r="E80" s="3"/>
      <c r="F80" s="3"/>
      <c r="G80" s="3"/>
      <c r="H80" s="3"/>
      <c r="I80" s="3"/>
      <c r="J80" s="48">
        <f>(MAX(M40,F40)*12 -1.5)*P63*AA40</f>
        <v>50097.504145999999</v>
      </c>
      <c r="K80" s="17" t="s">
        <v>171</v>
      </c>
      <c r="L80" s="3"/>
      <c r="M80" s="3"/>
      <c r="N80" s="3"/>
      <c r="O80" s="3"/>
      <c r="P80" s="3"/>
      <c r="Q80" s="3"/>
      <c r="R80" s="17"/>
      <c r="T80" s="11"/>
      <c r="V80" s="53" t="s">
        <v>103</v>
      </c>
      <c r="W80" s="49" t="s">
        <v>102</v>
      </c>
      <c r="X80" s="49" t="s">
        <v>105</v>
      </c>
      <c r="Y80" s="49" t="s">
        <v>104</v>
      </c>
      <c r="Z80" s="11"/>
      <c r="AA80" s="53" t="s">
        <v>106</v>
      </c>
      <c r="AB80" s="80" t="s">
        <v>117</v>
      </c>
      <c r="AC80" s="11"/>
      <c r="AD80" s="95" t="s">
        <v>125</v>
      </c>
      <c r="AE80" s="1"/>
      <c r="AF80" s="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45" ht="11.1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7"/>
      <c r="T81" s="11"/>
      <c r="V81" s="70" t="s">
        <v>75</v>
      </c>
      <c r="W81" s="76">
        <v>1.5</v>
      </c>
      <c r="X81" s="76">
        <v>5.5</v>
      </c>
      <c r="Y81" s="71">
        <f>W81*X81</f>
        <v>8.25</v>
      </c>
      <c r="Z81" s="11"/>
      <c r="AA81" s="70" t="s">
        <v>107</v>
      </c>
      <c r="AB81" s="81">
        <v>1130</v>
      </c>
      <c r="AC81" s="11"/>
      <c r="AD81" s="27" t="s">
        <v>126</v>
      </c>
      <c r="AE81" s="3"/>
      <c r="AF81" s="3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45" ht="11.1" customHeight="1" x14ac:dyDescent="0.25">
      <c r="A82" s="3"/>
      <c r="B82" s="27" t="s">
        <v>203</v>
      </c>
      <c r="C82" s="3"/>
      <c r="D82" s="3"/>
      <c r="E82" s="3"/>
      <c r="F82" s="3"/>
      <c r="G82" s="3"/>
      <c r="H82" s="150" t="str">
        <f>CONCATENATE("(nail spacing @ ",P57," x ",P57," grid pattern)")</f>
        <v>(nail spacing @ 3 x 3 grid pattern)</v>
      </c>
      <c r="I82" s="3"/>
      <c r="J82" s="3"/>
      <c r="K82" s="3"/>
      <c r="L82" s="3"/>
      <c r="M82" s="3"/>
      <c r="N82" s="3"/>
      <c r="O82" s="3"/>
      <c r="P82" s="3"/>
      <c r="Q82" s="3"/>
      <c r="R82" s="17"/>
      <c r="T82" s="11"/>
      <c r="V82" s="72" t="s">
        <v>76</v>
      </c>
      <c r="W82" s="75">
        <v>3</v>
      </c>
      <c r="X82" s="75">
        <v>5.5</v>
      </c>
      <c r="Y82" s="73">
        <f t="shared" ref="Y82:Y95" si="1">W82*X82</f>
        <v>16.5</v>
      </c>
      <c r="Z82" s="11"/>
      <c r="AA82" s="72" t="s">
        <v>108</v>
      </c>
      <c r="AB82" s="82">
        <v>1315</v>
      </c>
      <c r="AC82" s="11"/>
      <c r="AD82" s="111"/>
      <c r="AE82" s="112" t="s">
        <v>70</v>
      </c>
      <c r="AF82" s="113" t="s">
        <v>121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45" ht="11.1" customHeight="1" x14ac:dyDescent="0.25">
      <c r="A83" s="3"/>
      <c r="B83" s="17" t="s">
        <v>194</v>
      </c>
      <c r="C83" s="17"/>
      <c r="D83" s="17"/>
      <c r="E83" s="17"/>
      <c r="F83" s="17"/>
      <c r="G83" s="17"/>
      <c r="H83" s="17"/>
      <c r="I83" s="17"/>
      <c r="J83" s="22">
        <f>(W117^2+W118^2)^0.5</f>
        <v>7.5674059492008459</v>
      </c>
      <c r="K83" s="17" t="s">
        <v>195</v>
      </c>
      <c r="L83" s="3"/>
      <c r="M83" s="3"/>
      <c r="N83" s="3"/>
      <c r="O83" s="3"/>
      <c r="P83" s="3"/>
      <c r="Q83" s="3"/>
      <c r="R83" s="17"/>
      <c r="T83" s="11"/>
      <c r="V83" s="72" t="s">
        <v>77</v>
      </c>
      <c r="W83" s="75">
        <v>4.5</v>
      </c>
      <c r="X83" s="75">
        <v>5.5</v>
      </c>
      <c r="Y83" s="73">
        <f t="shared" si="1"/>
        <v>24.75</v>
      </c>
      <c r="Z83" s="11"/>
      <c r="AA83" s="72" t="s">
        <v>109</v>
      </c>
      <c r="AB83" s="82">
        <v>1505</v>
      </c>
      <c r="AC83" s="11"/>
      <c r="AD83" s="89" t="s">
        <v>68</v>
      </c>
      <c r="AE83" s="114">
        <v>73</v>
      </c>
      <c r="AF83" s="115">
        <v>87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45" ht="11.1" customHeight="1" x14ac:dyDescent="0.25">
      <c r="A84" s="3"/>
      <c r="B84" s="17" t="s">
        <v>199</v>
      </c>
      <c r="C84" s="3"/>
      <c r="D84" s="3"/>
      <c r="E84" s="3"/>
      <c r="F84" s="3"/>
      <c r="G84" s="3"/>
      <c r="H84" s="3"/>
      <c r="I84" s="3"/>
      <c r="J84" s="26">
        <f>(W115*W116^3)/12 + (W115^3*W116)/12</f>
        <v>5325.7301164964165</v>
      </c>
      <c r="K84" s="17" t="s">
        <v>198</v>
      </c>
      <c r="L84" s="3"/>
      <c r="M84" s="3"/>
      <c r="N84" s="3"/>
      <c r="O84" s="3"/>
      <c r="P84" s="3"/>
      <c r="Q84" s="3"/>
      <c r="R84" s="17"/>
      <c r="T84" s="11"/>
      <c r="V84" s="72" t="s">
        <v>78</v>
      </c>
      <c r="W84" s="75">
        <v>6</v>
      </c>
      <c r="X84" s="75">
        <v>5.5</v>
      </c>
      <c r="Y84" s="73">
        <f t="shared" si="1"/>
        <v>33</v>
      </c>
      <c r="Z84" s="11"/>
      <c r="AA84" s="72" t="s">
        <v>110</v>
      </c>
      <c r="AB84" s="82">
        <v>1640</v>
      </c>
      <c r="AC84" s="11"/>
      <c r="AD84" s="90" t="s">
        <v>72</v>
      </c>
      <c r="AE84" s="116">
        <v>74</v>
      </c>
      <c r="AF84" s="117">
        <v>88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1:45" ht="11.1" customHeight="1" x14ac:dyDescent="0.25">
      <c r="A85" s="3"/>
      <c r="B85" s="120" t="s">
        <v>207</v>
      </c>
      <c r="C85" s="3"/>
      <c r="D85" s="3"/>
      <c r="E85" s="3"/>
      <c r="F85" s="3"/>
      <c r="G85" s="3"/>
      <c r="H85" s="3"/>
      <c r="I85" s="3"/>
      <c r="J85" s="26">
        <f>((P59*P71*J84)/(P57^2*J83))*AA34</f>
        <v>9133.3995321881794</v>
      </c>
      <c r="K85" s="17" t="s">
        <v>171</v>
      </c>
      <c r="L85" s="3"/>
      <c r="M85" s="3"/>
      <c r="N85" s="3"/>
      <c r="O85" s="3"/>
      <c r="P85" s="3"/>
      <c r="Q85" s="3"/>
      <c r="R85" s="17"/>
      <c r="T85" s="11"/>
      <c r="V85" s="72" t="s">
        <v>79</v>
      </c>
      <c r="W85" s="75">
        <v>3.5</v>
      </c>
      <c r="X85" s="75">
        <v>3.5</v>
      </c>
      <c r="Y85" s="73">
        <f t="shared" si="1"/>
        <v>12.25</v>
      </c>
      <c r="Z85" s="11"/>
      <c r="AA85" s="72" t="s">
        <v>111</v>
      </c>
      <c r="AB85" s="82">
        <v>2050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45" ht="11.1" customHeight="1" x14ac:dyDescent="0.25">
      <c r="A86" s="3"/>
      <c r="N86" s="3"/>
      <c r="O86" s="3"/>
      <c r="P86" s="3"/>
      <c r="Q86" s="3"/>
      <c r="R86" s="17"/>
      <c r="T86" s="11"/>
      <c r="V86" s="72" t="s">
        <v>80</v>
      </c>
      <c r="W86" s="75">
        <v>3.5</v>
      </c>
      <c r="X86" s="75">
        <v>5.5</v>
      </c>
      <c r="Y86" s="73">
        <f t="shared" si="1"/>
        <v>19.25</v>
      </c>
      <c r="Z86" s="11"/>
      <c r="AA86" s="72" t="s">
        <v>112</v>
      </c>
      <c r="AB86" s="82">
        <v>2050</v>
      </c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45" ht="11.1" customHeight="1" x14ac:dyDescent="0.25">
      <c r="A87" s="3"/>
      <c r="B87" s="17" t="s">
        <v>208</v>
      </c>
      <c r="J87" s="151">
        <f>MIN(J77,J85)+J80</f>
        <v>59230.90367818818</v>
      </c>
      <c r="K87" s="152" t="s">
        <v>171</v>
      </c>
      <c r="L87" s="137" t="str">
        <f>IF(J87&lt;M87,"&lt;","&gt;")</f>
        <v>&gt;</v>
      </c>
      <c r="M87" s="26">
        <f>H59</f>
        <v>43348.176705269245</v>
      </c>
      <c r="N87" s="122" t="s">
        <v>171</v>
      </c>
      <c r="O87" s="79"/>
      <c r="Q87" s="123" t="str">
        <f>IF(M87&lt;J87,"OK","NG")</f>
        <v>OK</v>
      </c>
      <c r="R87" s="17"/>
      <c r="T87" s="11"/>
      <c r="V87" s="72" t="s">
        <v>81</v>
      </c>
      <c r="W87" s="75">
        <v>5.5</v>
      </c>
      <c r="X87" s="75">
        <v>5.5</v>
      </c>
      <c r="Y87" s="73">
        <f t="shared" si="1"/>
        <v>30.25</v>
      </c>
      <c r="Z87" s="11"/>
      <c r="AA87" s="72" t="s">
        <v>113</v>
      </c>
      <c r="AB87" s="82">
        <v>3455</v>
      </c>
      <c r="AC87" s="11"/>
      <c r="AD87" s="95" t="s">
        <v>131</v>
      </c>
      <c r="AE87" s="1"/>
      <c r="AF87" s="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1:45" ht="11.1" customHeight="1" x14ac:dyDescent="0.25">
      <c r="A88" s="3"/>
      <c r="N88" s="3"/>
      <c r="O88" s="3"/>
      <c r="P88" s="3"/>
      <c r="Q88" s="3"/>
      <c r="R88" s="17"/>
      <c r="T88" s="11"/>
      <c r="V88" s="72" t="s">
        <v>82</v>
      </c>
      <c r="W88" s="75">
        <v>5.5</v>
      </c>
      <c r="X88" s="75">
        <v>7.25</v>
      </c>
      <c r="Y88" s="73">
        <f t="shared" si="1"/>
        <v>39.875</v>
      </c>
      <c r="Z88" s="11"/>
      <c r="AA88" s="72" t="s">
        <v>114</v>
      </c>
      <c r="AB88" s="82">
        <v>4745</v>
      </c>
      <c r="AC88" s="11"/>
      <c r="AD88" s="27" t="s">
        <v>129</v>
      </c>
      <c r="AE88" s="3"/>
      <c r="AF88" s="3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45" ht="11.1" customHeight="1" x14ac:dyDescent="0.25">
      <c r="A89" s="3"/>
      <c r="B89" s="27" t="s">
        <v>182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7"/>
      <c r="T89" s="11"/>
      <c r="V89" s="72" t="s">
        <v>83</v>
      </c>
      <c r="W89" s="75">
        <v>1.5</v>
      </c>
      <c r="X89" s="75">
        <v>3.5</v>
      </c>
      <c r="Y89" s="73">
        <f t="shared" si="1"/>
        <v>5.25</v>
      </c>
      <c r="Z89" s="11"/>
      <c r="AA89" s="72" t="s">
        <v>115</v>
      </c>
      <c r="AB89" s="82">
        <v>4745</v>
      </c>
      <c r="AC89" s="11"/>
      <c r="AD89" s="111"/>
      <c r="AE89" s="113" t="s">
        <v>130</v>
      </c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spans="1:45" ht="11.1" customHeight="1" x14ac:dyDescent="0.25">
      <c r="A90" s="3"/>
      <c r="B90" s="17" t="s">
        <v>185</v>
      </c>
      <c r="C90" s="3"/>
      <c r="D90" s="3"/>
      <c r="E90" s="3"/>
      <c r="F90" s="3"/>
      <c r="G90" s="3"/>
      <c r="H90" s="3"/>
      <c r="I90" s="3"/>
      <c r="J90" s="3">
        <f>VLOOKUP(P66,U53:AK61,17,FALSE)</f>
        <v>3</v>
      </c>
      <c r="K90" s="3" t="s">
        <v>13</v>
      </c>
      <c r="L90" s="3"/>
      <c r="M90" s="3"/>
      <c r="N90" s="3"/>
      <c r="O90" s="3"/>
      <c r="P90" s="3"/>
      <c r="Q90" s="3"/>
      <c r="R90" s="17"/>
      <c r="T90" s="11"/>
      <c r="V90" s="72" t="s">
        <v>84</v>
      </c>
      <c r="W90" s="75">
        <v>3</v>
      </c>
      <c r="X90" s="75">
        <v>3.5</v>
      </c>
      <c r="Y90" s="73">
        <f t="shared" si="1"/>
        <v>10.5</v>
      </c>
      <c r="Z90" s="11"/>
      <c r="AA90" s="74" t="s">
        <v>116</v>
      </c>
      <c r="AB90" s="83">
        <v>5860</v>
      </c>
      <c r="AC90" s="11"/>
      <c r="AD90" s="89" t="s">
        <v>68</v>
      </c>
      <c r="AE90" s="118">
        <v>165</v>
      </c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spans="1:45" ht="11.1" customHeight="1" x14ac:dyDescent="0.25">
      <c r="A91" s="3"/>
      <c r="B91" s="120" t="s">
        <v>184</v>
      </c>
      <c r="C91" s="3"/>
      <c r="D91" s="3"/>
      <c r="E91" s="3"/>
      <c r="F91" s="3"/>
      <c r="G91" s="3"/>
      <c r="H91" s="3"/>
      <c r="I91" s="3"/>
      <c r="J91" s="26">
        <f>P67*(H54*12-J90)</f>
        <v>41600.003189999938</v>
      </c>
      <c r="K91" s="17" t="s">
        <v>171</v>
      </c>
      <c r="L91" s="137" t="str">
        <f>IF(J91&lt;M91,"&lt;","&gt;")</f>
        <v>&gt;</v>
      </c>
      <c r="M91" s="26">
        <f>AE113*H58</f>
        <v>30444.990321563211</v>
      </c>
      <c r="N91" s="122" t="s">
        <v>171</v>
      </c>
      <c r="O91" s="79"/>
      <c r="Q91" s="123" t="str">
        <f>IF(M91&lt;J91,"OK","NG")</f>
        <v>OK</v>
      </c>
      <c r="R91" s="17"/>
      <c r="T91" s="11"/>
      <c r="V91" s="72" t="s">
        <v>85</v>
      </c>
      <c r="W91" s="75">
        <v>4.5</v>
      </c>
      <c r="X91" s="75">
        <v>3.5</v>
      </c>
      <c r="Y91" s="73">
        <f t="shared" si="1"/>
        <v>15.75</v>
      </c>
      <c r="Z91" s="11"/>
      <c r="AA91" s="11"/>
      <c r="AB91" s="11"/>
      <c r="AC91" s="11"/>
      <c r="AD91" s="90" t="s">
        <v>72</v>
      </c>
      <c r="AE91" s="119">
        <v>180</v>
      </c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45" ht="11.1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7"/>
      <c r="T92" s="11"/>
      <c r="V92" s="72" t="s">
        <v>86</v>
      </c>
      <c r="W92" s="75">
        <v>1.5</v>
      </c>
      <c r="X92" s="75">
        <v>7.25</v>
      </c>
      <c r="Y92" s="73">
        <f t="shared" si="1"/>
        <v>10.875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45" ht="11.1" customHeight="1" x14ac:dyDescent="0.25">
      <c r="A93" s="3"/>
      <c r="B93" s="27" t="s">
        <v>192</v>
      </c>
      <c r="C93" s="3"/>
      <c r="D93" s="3"/>
      <c r="E93" s="3"/>
      <c r="F93" s="3"/>
      <c r="G93" s="3"/>
      <c r="H93" s="150" t="s">
        <v>193</v>
      </c>
      <c r="I93" s="3"/>
      <c r="J93" s="3"/>
      <c r="K93" s="3"/>
      <c r="L93" s="3"/>
      <c r="M93" s="3"/>
      <c r="N93" s="3"/>
      <c r="O93" s="3"/>
      <c r="P93" s="3"/>
      <c r="Q93" s="3"/>
      <c r="R93" s="17"/>
      <c r="T93" s="11"/>
      <c r="V93" s="72" t="s">
        <v>87</v>
      </c>
      <c r="W93" s="75">
        <v>3</v>
      </c>
      <c r="X93" s="75">
        <v>7.25</v>
      </c>
      <c r="Y93" s="73">
        <f t="shared" si="1"/>
        <v>21.75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spans="1:45" ht="11.1" customHeight="1" x14ac:dyDescent="0.25">
      <c r="A94" s="3"/>
      <c r="B94" s="17" t="s">
        <v>194</v>
      </c>
      <c r="C94" s="17"/>
      <c r="D94" s="17"/>
      <c r="E94" s="17"/>
      <c r="F94" s="17"/>
      <c r="G94" s="17"/>
      <c r="H94" s="17"/>
      <c r="I94" s="17"/>
      <c r="J94" s="22">
        <f>(H54*12 -1.5)/2</f>
        <v>7.2500005999999999</v>
      </c>
      <c r="K94" s="17" t="s">
        <v>195</v>
      </c>
      <c r="L94" s="3"/>
      <c r="M94" s="3"/>
      <c r="N94" s="3"/>
      <c r="O94" s="3"/>
      <c r="P94" s="3"/>
      <c r="Q94" s="3"/>
      <c r="R94" s="17"/>
      <c r="T94" s="11"/>
      <c r="V94" s="72" t="s">
        <v>88</v>
      </c>
      <c r="W94" s="75">
        <v>4.5</v>
      </c>
      <c r="X94" s="75">
        <v>7.25</v>
      </c>
      <c r="Y94" s="73">
        <f t="shared" si="1"/>
        <v>32.625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</row>
    <row r="95" spans="1:45" ht="11.1" customHeight="1" x14ac:dyDescent="0.25">
      <c r="A95" s="3"/>
      <c r="B95" s="17" t="s">
        <v>199</v>
      </c>
      <c r="C95" s="3"/>
      <c r="D95" s="3"/>
      <c r="E95" s="3"/>
      <c r="F95" s="3"/>
      <c r="G95" s="3"/>
      <c r="H95" s="3"/>
      <c r="I95" s="3"/>
      <c r="J95" s="26">
        <f>(W111*W112^3)/12 + (W111^3*W112)/12</f>
        <v>1379.2190283250188</v>
      </c>
      <c r="K95" s="17" t="s">
        <v>198</v>
      </c>
      <c r="L95" s="3"/>
      <c r="M95" s="3"/>
      <c r="N95" s="3"/>
      <c r="O95" s="3"/>
      <c r="P95" s="3"/>
      <c r="Q95" s="3"/>
      <c r="R95" s="17"/>
      <c r="T95" s="11"/>
      <c r="V95" s="74" t="s">
        <v>101</v>
      </c>
      <c r="W95" s="77">
        <v>6</v>
      </c>
      <c r="X95" s="77">
        <v>7.25</v>
      </c>
      <c r="Y95" s="78">
        <f t="shared" si="1"/>
        <v>43.5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1:45" ht="11.1" customHeight="1" x14ac:dyDescent="0.25">
      <c r="A96" s="3"/>
      <c r="B96" s="120" t="s">
        <v>200</v>
      </c>
      <c r="C96" s="3"/>
      <c r="D96" s="3"/>
      <c r="E96" s="3"/>
      <c r="F96" s="3"/>
      <c r="G96" s="3"/>
      <c r="H96" s="3"/>
      <c r="I96" s="3"/>
      <c r="J96" s="26">
        <f>((P59*P71*J95)/(P57^2*J94))*AA34</f>
        <v>2468.8547000237063</v>
      </c>
      <c r="K96" s="17" t="s">
        <v>171</v>
      </c>
      <c r="L96" s="3"/>
      <c r="M96" s="3"/>
      <c r="N96" s="3"/>
      <c r="O96" s="3"/>
      <c r="P96" s="3"/>
      <c r="Q96" s="3"/>
      <c r="R96" s="17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spans="1:45" ht="11.1" customHeight="1" x14ac:dyDescent="0.25">
      <c r="A97" s="3"/>
      <c r="N97" s="3"/>
      <c r="O97" s="3"/>
      <c r="P97" s="3"/>
      <c r="Q97" s="3"/>
      <c r="R97" s="17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53" t="s">
        <v>187</v>
      </c>
      <c r="AF97" s="3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45" ht="11.1" customHeight="1" x14ac:dyDescent="0.25">
      <c r="A98" s="3"/>
      <c r="B98" s="17" t="s">
        <v>209</v>
      </c>
      <c r="J98" s="151">
        <f>J91+J96</f>
        <v>44068.857890023646</v>
      </c>
      <c r="K98" s="152" t="s">
        <v>171</v>
      </c>
      <c r="L98" s="137" t="str">
        <f>IF(J98&lt;M98,"&lt;","&gt;")</f>
        <v>&gt;</v>
      </c>
      <c r="M98" s="26">
        <f>H60</f>
        <v>32251.823294730773</v>
      </c>
      <c r="N98" s="122" t="s">
        <v>171</v>
      </c>
      <c r="O98" s="79"/>
      <c r="Q98" s="123" t="str">
        <f>IF(M98&lt;J98,"OK","NG")</f>
        <v>OK</v>
      </c>
      <c r="R98" s="3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7" t="s">
        <v>188</v>
      </c>
      <c r="AF98" s="3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45" ht="11.1" customHeight="1" x14ac:dyDescent="0.25">
      <c r="A99" s="3"/>
      <c r="N99" s="3"/>
      <c r="O99" s="3"/>
      <c r="P99" s="3"/>
      <c r="Q99" s="3"/>
      <c r="R99" s="17"/>
      <c r="V99" s="95" t="s">
        <v>165</v>
      </c>
      <c r="AE99" s="130" t="s">
        <v>189</v>
      </c>
      <c r="AF99" s="84"/>
    </row>
    <row r="100" spans="1:45" ht="11.1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7" t="s">
        <v>61</v>
      </c>
      <c r="V100" s="53" t="s">
        <v>143</v>
      </c>
      <c r="W100" s="3" t="s">
        <v>141</v>
      </c>
      <c r="X100" s="3" t="s">
        <v>144</v>
      </c>
      <c r="Y100" s="3" t="s">
        <v>145</v>
      </c>
      <c r="Z100" s="3" t="s">
        <v>146</v>
      </c>
      <c r="AB100" s="53" t="s">
        <v>151</v>
      </c>
      <c r="AC100" s="1"/>
      <c r="AE100" s="145" t="s">
        <v>190</v>
      </c>
      <c r="AF100" s="84"/>
    </row>
    <row r="101" spans="1:45" ht="11.1" customHeight="1" x14ac:dyDescent="0.25">
      <c r="V101" s="55" t="s">
        <v>147</v>
      </c>
      <c r="W101" s="125" t="s">
        <v>148</v>
      </c>
      <c r="X101" s="125" t="s">
        <v>148</v>
      </c>
      <c r="Y101" s="125" t="s">
        <v>148</v>
      </c>
      <c r="Z101" s="126" t="s">
        <v>148</v>
      </c>
      <c r="AB101" s="70" t="s">
        <v>141</v>
      </c>
      <c r="AC101" s="107" t="s">
        <v>150</v>
      </c>
      <c r="AE101" s="3"/>
      <c r="AF101" s="84"/>
    </row>
    <row r="102" spans="1:45" ht="11.1" customHeight="1" x14ac:dyDescent="0.25">
      <c r="V102" s="127">
        <v>0.5</v>
      </c>
      <c r="W102" s="128">
        <v>530</v>
      </c>
      <c r="X102" s="128">
        <v>680</v>
      </c>
      <c r="Y102" s="128">
        <v>680</v>
      </c>
      <c r="Z102" s="129">
        <v>690</v>
      </c>
      <c r="AB102" s="72" t="s">
        <v>144</v>
      </c>
      <c r="AC102" s="92" t="s">
        <v>150</v>
      </c>
      <c r="AE102" s="3"/>
      <c r="AF102" s="84"/>
    </row>
    <row r="103" spans="1:45" ht="11.1" customHeight="1" x14ac:dyDescent="0.25">
      <c r="V103" s="130">
        <v>0.625</v>
      </c>
      <c r="W103" s="131">
        <v>780</v>
      </c>
      <c r="X103" s="131">
        <v>940</v>
      </c>
      <c r="Y103" s="131">
        <v>940</v>
      </c>
      <c r="Z103" s="132">
        <v>1070</v>
      </c>
      <c r="AB103" s="72" t="s">
        <v>145</v>
      </c>
      <c r="AC103" s="92" t="s">
        <v>149</v>
      </c>
      <c r="AE103" s="3"/>
      <c r="AF103" s="84"/>
    </row>
    <row r="104" spans="1:45" ht="11.1" customHeight="1" x14ac:dyDescent="0.25">
      <c r="V104" s="130">
        <v>0.75</v>
      </c>
      <c r="W104" s="131">
        <v>1100</v>
      </c>
      <c r="X104" s="131">
        <v>1240</v>
      </c>
      <c r="Y104" s="131">
        <v>1240</v>
      </c>
      <c r="Z104" s="132">
        <v>1470</v>
      </c>
      <c r="AB104" s="74" t="s">
        <v>146</v>
      </c>
      <c r="AC104" s="93" t="s">
        <v>149</v>
      </c>
      <c r="AE104" s="84"/>
      <c r="AF104" s="84"/>
    </row>
    <row r="105" spans="1:45" ht="11.1" customHeight="1" x14ac:dyDescent="0.25">
      <c r="V105" s="130">
        <v>0.875</v>
      </c>
      <c r="W105" s="131">
        <v>1280</v>
      </c>
      <c r="X105" s="131">
        <v>1600</v>
      </c>
      <c r="Y105" s="131">
        <v>1600</v>
      </c>
      <c r="Z105" s="132">
        <v>1840</v>
      </c>
      <c r="AE105" s="84"/>
      <c r="AF105" s="84"/>
    </row>
    <row r="106" spans="1:45" ht="11.1" customHeight="1" x14ac:dyDescent="0.25">
      <c r="V106" s="133">
        <v>1</v>
      </c>
      <c r="W106" s="134">
        <v>1460</v>
      </c>
      <c r="X106" s="134">
        <v>2030</v>
      </c>
      <c r="Y106" s="134">
        <v>2030</v>
      </c>
      <c r="Z106" s="135">
        <v>2260</v>
      </c>
      <c r="AE106" s="84"/>
      <c r="AF106" s="84"/>
    </row>
    <row r="107" spans="1:45" ht="11.1" customHeight="1" x14ac:dyDescent="0.25"/>
    <row r="108" spans="1:45" ht="11.1" customHeight="1" x14ac:dyDescent="0.25"/>
    <row r="109" spans="1:45" ht="11.1" customHeight="1" x14ac:dyDescent="0.25"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45" ht="11.1" customHeight="1" x14ac:dyDescent="0.25">
      <c r="V110" s="27" t="s">
        <v>196</v>
      </c>
      <c r="W110" s="3"/>
      <c r="X110" s="3"/>
      <c r="Y110" s="3"/>
      <c r="Z110" s="3"/>
      <c r="AA110" s="53" t="s">
        <v>214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45" ht="11.1" customHeight="1" x14ac:dyDescent="0.25">
      <c r="V111" s="3" t="s">
        <v>197</v>
      </c>
      <c r="W111" s="138">
        <f>P57</f>
        <v>3</v>
      </c>
      <c r="X111" s="3"/>
      <c r="Y111" s="3"/>
      <c r="Z111" s="3"/>
      <c r="AA111" s="3" t="s">
        <v>215</v>
      </c>
      <c r="AB111" s="3"/>
      <c r="AE111" s="138">
        <f>J87/(J87+J98)</f>
        <v>0.57338858075752952</v>
      </c>
      <c r="AF111" s="3"/>
      <c r="AG111" s="3"/>
      <c r="AH111" s="3"/>
      <c r="AI111" s="3"/>
      <c r="AJ111" s="3"/>
      <c r="AK111" s="3"/>
      <c r="AL111" s="3"/>
    </row>
    <row r="112" spans="1:45" ht="11.1" customHeight="1" x14ac:dyDescent="0.25">
      <c r="V112" s="3" t="s">
        <v>38</v>
      </c>
      <c r="W112" s="138">
        <f>J94*2+P57</f>
        <v>17.5000012</v>
      </c>
      <c r="X112" s="3"/>
      <c r="Y112" s="3"/>
      <c r="Z112" s="3"/>
      <c r="AA112" s="3" t="s">
        <v>216</v>
      </c>
      <c r="AB112" s="3"/>
      <c r="AE112" s="138">
        <f>J98/(J87+J98)</f>
        <v>0.42661141924247037</v>
      </c>
      <c r="AF112" s="3"/>
      <c r="AG112" s="3"/>
      <c r="AH112" s="3"/>
      <c r="AI112" s="3"/>
      <c r="AJ112" s="3"/>
      <c r="AK112" s="3"/>
      <c r="AL112" s="3"/>
    </row>
    <row r="113" spans="22:38" ht="11.1" customHeight="1" x14ac:dyDescent="0.25">
      <c r="V113" s="3"/>
      <c r="W113" s="3"/>
      <c r="X113" s="3"/>
      <c r="Y113" s="3"/>
      <c r="Z113" s="3"/>
      <c r="AA113" s="3" t="s">
        <v>217</v>
      </c>
      <c r="AB113" s="3"/>
      <c r="AC113" s="3"/>
      <c r="AD113" s="3"/>
      <c r="AE113" s="138">
        <f>J91/(J87+J98)</f>
        <v>0.40271151218998941</v>
      </c>
      <c r="AF113" s="3"/>
      <c r="AG113" s="3"/>
      <c r="AH113" s="3"/>
      <c r="AI113" s="3"/>
      <c r="AJ113" s="3"/>
      <c r="AK113" s="3"/>
      <c r="AL113" s="3"/>
    </row>
    <row r="114" spans="22:38" ht="11.1" customHeight="1" x14ac:dyDescent="0.25">
      <c r="V114" s="27" t="s">
        <v>204</v>
      </c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22:38" ht="11.1" customHeight="1" x14ac:dyDescent="0.25">
      <c r="V115" s="3" t="s">
        <v>197</v>
      </c>
      <c r="W115" s="138">
        <f>W117*2+$P$57</f>
        <v>16.0000012</v>
      </c>
      <c r="X115" s="3"/>
      <c r="Y115" s="3"/>
      <c r="Z115" s="3"/>
      <c r="AA115" s="3" t="s">
        <v>218</v>
      </c>
      <c r="AB115" s="3"/>
      <c r="AC115" s="3"/>
      <c r="AD115" s="3"/>
      <c r="AE115" s="48">
        <f>AE113*H58</f>
        <v>30444.990321563211</v>
      </c>
      <c r="AF115" s="3" t="s">
        <v>171</v>
      </c>
      <c r="AG115" s="3"/>
      <c r="AH115" s="3"/>
      <c r="AI115" s="3"/>
      <c r="AJ115" s="3"/>
      <c r="AK115" s="3"/>
      <c r="AL115" s="3"/>
    </row>
    <row r="116" spans="22:38" ht="11.1" customHeight="1" x14ac:dyDescent="0.25">
      <c r="V116" s="3" t="s">
        <v>38</v>
      </c>
      <c r="W116" s="138">
        <f>W118*2+$P$57</f>
        <v>10.75</v>
      </c>
      <c r="X116" s="3"/>
      <c r="Y116" s="3"/>
      <c r="Z116" s="3"/>
      <c r="AA116" s="3" t="s">
        <v>219</v>
      </c>
      <c r="AB116" s="3"/>
      <c r="AC116" s="3"/>
      <c r="AD116" s="3"/>
      <c r="AE116" s="48">
        <f>AE115/(H54*12-J90)</f>
        <v>2341.9221162505132</v>
      </c>
      <c r="AF116" s="3" t="s">
        <v>3</v>
      </c>
      <c r="AG116" s="3"/>
      <c r="AH116" s="3"/>
      <c r="AI116" s="3"/>
      <c r="AJ116" s="3"/>
      <c r="AK116" s="3"/>
      <c r="AL116" s="3"/>
    </row>
    <row r="117" spans="22:38" ht="11.1" customHeight="1" x14ac:dyDescent="0.25">
      <c r="V117" s="3" t="s">
        <v>205</v>
      </c>
      <c r="W117" s="138">
        <f>(H54*12 -1.5-1.5)/2</f>
        <v>6.5000005999999999</v>
      </c>
      <c r="X117" s="3"/>
      <c r="Y117" s="3"/>
      <c r="Z117" s="3"/>
      <c r="AA117" s="3" t="s">
        <v>220</v>
      </c>
      <c r="AB117" s="3"/>
      <c r="AC117" s="3"/>
      <c r="AD117" s="3"/>
      <c r="AE117" s="48">
        <f>V4+AE116</f>
        <v>2959.0649628137789</v>
      </c>
      <c r="AF117" s="3" t="s">
        <v>3</v>
      </c>
      <c r="AG117" s="3"/>
      <c r="AH117" s="3"/>
      <c r="AI117" s="3"/>
      <c r="AJ117" s="3"/>
      <c r="AK117" s="3"/>
      <c r="AL117" s="3"/>
    </row>
    <row r="118" spans="22:38" ht="11.1" customHeight="1" x14ac:dyDescent="0.25">
      <c r="V118" s="3" t="s">
        <v>206</v>
      </c>
      <c r="W118" s="138">
        <f>(P61 -1.5)/2</f>
        <v>3.875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22:38" ht="11.1" customHeight="1" x14ac:dyDescent="0.25">
      <c r="V119" s="3"/>
      <c r="W119" s="3"/>
      <c r="X119" s="3"/>
      <c r="Y119" s="3"/>
      <c r="Z119" s="3"/>
      <c r="AA119" s="17" t="s">
        <v>16</v>
      </c>
      <c r="AB119" s="17"/>
      <c r="AC119" s="26">
        <f>IF($V$8&gt;=$V$14,AE117,"")</f>
        <v>2959.0649628137789</v>
      </c>
      <c r="AD119" s="17" t="s">
        <v>3</v>
      </c>
      <c r="AE119" s="23" t="str">
        <f>IF($V$8&gt;=$V$14,CONCATENATE(ROUND(AC119,0)," ",AD119)," ")</f>
        <v>2959 lbs</v>
      </c>
      <c r="AF119" s="3"/>
      <c r="AG119" s="3"/>
      <c r="AH119" s="3"/>
      <c r="AI119" s="3"/>
      <c r="AJ119" s="3"/>
      <c r="AK119" s="3"/>
      <c r="AL119" s="3"/>
    </row>
    <row r="120" spans="22:38" ht="11.1" customHeight="1" x14ac:dyDescent="0.25">
      <c r="V120" s="3"/>
      <c r="W120" s="3"/>
      <c r="X120" s="3"/>
      <c r="Y120" s="3"/>
      <c r="Z120" s="3"/>
      <c r="AA120" s="17" t="s">
        <v>17</v>
      </c>
      <c r="AB120" s="17"/>
      <c r="AC120" s="26">
        <f>IF($V$8&gt;=$V$14,AE116,"")</f>
        <v>2341.9221162505132</v>
      </c>
      <c r="AD120" s="17" t="s">
        <v>3</v>
      </c>
      <c r="AE120" s="23" t="str">
        <f>IF($V$8&gt;=$V$14,CONCATENATE(ROUND(AC120,0)," ",AD120)," ")</f>
        <v>2342 lbs</v>
      </c>
      <c r="AF120" s="3"/>
      <c r="AG120" s="3"/>
      <c r="AH120" s="3"/>
      <c r="AI120" s="3"/>
      <c r="AJ120" s="3"/>
      <c r="AK120" s="3"/>
      <c r="AL120" s="3"/>
    </row>
    <row r="121" spans="22:38" ht="11.1" customHeight="1" x14ac:dyDescent="0.25">
      <c r="V121" s="3"/>
      <c r="W121" s="3"/>
      <c r="X121" s="3"/>
      <c r="Y121" s="3"/>
      <c r="Z121" s="3"/>
      <c r="AA121" s="17" t="s">
        <v>21</v>
      </c>
      <c r="AB121" s="17"/>
      <c r="AC121" s="26">
        <f>IF($V$14&gt;=$V$8,AE116,"")</f>
        <v>2341.9221162505132</v>
      </c>
      <c r="AD121" s="17" t="s">
        <v>3</v>
      </c>
      <c r="AE121" s="21" t="str">
        <f>IF($V$14&gt;=$V$8,CONCATENATE(ROUND(AC121,0)," lbs")," ")</f>
        <v>2342 lbs</v>
      </c>
      <c r="AF121" s="3"/>
      <c r="AG121" s="3"/>
      <c r="AH121" s="3"/>
      <c r="AI121" s="3"/>
      <c r="AJ121" s="3"/>
      <c r="AK121" s="3"/>
      <c r="AL121" s="3"/>
    </row>
    <row r="122" spans="22:38" ht="11.1" customHeight="1" x14ac:dyDescent="0.25">
      <c r="V122" s="3"/>
      <c r="W122" s="3"/>
      <c r="X122" s="3"/>
      <c r="Y122" s="3"/>
      <c r="Z122" s="3"/>
      <c r="AA122" s="17" t="s">
        <v>22</v>
      </c>
      <c r="AB122" s="17"/>
      <c r="AC122" s="26">
        <f>IF($V$14&gt;=$V$8,AE117,"")</f>
        <v>2959.0649628137789</v>
      </c>
      <c r="AD122" s="17" t="s">
        <v>3</v>
      </c>
      <c r="AE122" s="21" t="str">
        <f>IF($V$14&gt;=$V$8,CONCATENATE(ROUND(AC122,0)," lbs")," ")</f>
        <v>2959 lbs</v>
      </c>
      <c r="AF122" s="3"/>
      <c r="AG122" s="3"/>
      <c r="AH122" s="3"/>
      <c r="AI122" s="3"/>
      <c r="AJ122" s="3"/>
      <c r="AK122" s="3"/>
      <c r="AL122" s="3"/>
    </row>
    <row r="123" spans="22:38" ht="11.1" customHeight="1" x14ac:dyDescent="0.25"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22:38" ht="11.1" customHeight="1" x14ac:dyDescent="0.25">
      <c r="V124" s="3"/>
      <c r="W124" s="3"/>
      <c r="X124" s="3"/>
      <c r="Y124" s="3"/>
      <c r="Z124" s="3"/>
      <c r="AA124" s="3" t="s">
        <v>222</v>
      </c>
      <c r="AB124" s="3"/>
      <c r="AC124" s="3"/>
      <c r="AD124" s="3"/>
      <c r="AE124" s="138">
        <f>J80/(J87+J98)</f>
        <v>0.48497211789708888</v>
      </c>
      <c r="AF124" s="3"/>
      <c r="AG124" s="3"/>
      <c r="AH124" s="3"/>
      <c r="AI124" s="3"/>
      <c r="AJ124" s="3"/>
      <c r="AK124" s="3"/>
      <c r="AL124" s="3"/>
    </row>
    <row r="125" spans="22:38" ht="11.1" customHeight="1" x14ac:dyDescent="0.25">
      <c r="V125" s="3"/>
      <c r="W125" s="3"/>
      <c r="X125" s="3"/>
      <c r="Y125" s="3"/>
      <c r="Z125" s="3"/>
      <c r="AA125" s="3" t="s">
        <v>221</v>
      </c>
      <c r="AB125" s="3"/>
      <c r="AC125" s="3"/>
      <c r="AD125" s="3"/>
      <c r="AE125" s="48">
        <f>AE124*H58</f>
        <v>36663.892113019931</v>
      </c>
      <c r="AF125" s="3" t="s">
        <v>171</v>
      </c>
      <c r="AG125" s="3"/>
      <c r="AH125" s="3"/>
      <c r="AI125" s="3"/>
      <c r="AJ125" s="3"/>
      <c r="AK125" s="3"/>
      <c r="AL125" s="3"/>
    </row>
    <row r="126" spans="22:38" ht="11.1" customHeight="1" x14ac:dyDescent="0.25">
      <c r="V126" s="3"/>
      <c r="W126" s="3"/>
      <c r="X126" s="3"/>
      <c r="Y126" s="3"/>
      <c r="Z126" s="3"/>
      <c r="AA126" s="3" t="s">
        <v>223</v>
      </c>
      <c r="AB126" s="3"/>
      <c r="AC126" s="3"/>
      <c r="AD126" s="3"/>
      <c r="AE126" s="48">
        <f>AE125/((H54*12-1.5)*AA40)</f>
        <v>2528.5440743977269</v>
      </c>
      <c r="AF126" s="3" t="s">
        <v>3</v>
      </c>
      <c r="AG126" s="3"/>
      <c r="AH126" s="3"/>
      <c r="AI126" s="3"/>
      <c r="AJ126" s="3"/>
      <c r="AK126" s="3"/>
      <c r="AL126" s="3"/>
    </row>
    <row r="127" spans="22:38" ht="11.1" customHeight="1" x14ac:dyDescent="0.25"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22:38" ht="11.1" customHeight="1" x14ac:dyDescent="0.25"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22:38" ht="11.1" customHeight="1" x14ac:dyDescent="0.25"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22:38" ht="11.1" customHeight="1" x14ac:dyDescent="0.25"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22:38" ht="11.1" customHeight="1" x14ac:dyDescent="0.25"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22:38" ht="11.1" customHeight="1" x14ac:dyDescent="0.25"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22:38" ht="11.1" customHeight="1" x14ac:dyDescent="0.25"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22:38" ht="11.1" customHeight="1" x14ac:dyDescent="0.25"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22:38" ht="11.1" customHeight="1" x14ac:dyDescent="0.25"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22:38" ht="11.1" customHeight="1" x14ac:dyDescent="0.25"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22:38" ht="11.1" customHeight="1" x14ac:dyDescent="0.25"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22:38" ht="11.1" customHeight="1" x14ac:dyDescent="0.25"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22:38" ht="11.1" customHeight="1" x14ac:dyDescent="0.25"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22:38" ht="11.1" customHeight="1" x14ac:dyDescent="0.25"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22:38" ht="11.1" customHeight="1" x14ac:dyDescent="0.25"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22:38" ht="11.1" customHeight="1" x14ac:dyDescent="0.25"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22:38" ht="11.1" customHeight="1" x14ac:dyDescent="0.25"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22:38" ht="11.1" customHeight="1" x14ac:dyDescent="0.25"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22:38" ht="11.1" customHeight="1" x14ac:dyDescent="0.25"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22:38" ht="11.1" customHeight="1" x14ac:dyDescent="0.25"/>
    <row r="147" spans="22:38" ht="11.1" customHeight="1" x14ac:dyDescent="0.25"/>
    <row r="148" spans="22:38" ht="11.1" customHeight="1" x14ac:dyDescent="0.25"/>
    <row r="149" spans="22:38" ht="11.1" customHeight="1" x14ac:dyDescent="0.25"/>
  </sheetData>
  <dataConsolidate/>
  <mergeCells count="13">
    <mergeCell ref="P62:Q62"/>
    <mergeCell ref="P68:Q68"/>
    <mergeCell ref="I13:J13"/>
    <mergeCell ref="P79:Q79"/>
    <mergeCell ref="P66:Q66"/>
    <mergeCell ref="H28:K28"/>
    <mergeCell ref="H29:K29"/>
    <mergeCell ref="H30:K30"/>
    <mergeCell ref="H33:K33"/>
    <mergeCell ref="I15:J15"/>
    <mergeCell ref="I24:J24"/>
    <mergeCell ref="H26:K26"/>
    <mergeCell ref="H27:K27"/>
  </mergeCells>
  <conditionalFormatting sqref="I64">
    <cfRule type="containsText" dxfId="7" priority="8" stopIfTrue="1" operator="containsText" text="NG">
      <formula>NOT(ISERROR(SEARCH("NG",I64)))</formula>
    </cfRule>
  </conditionalFormatting>
  <conditionalFormatting sqref="I69">
    <cfRule type="containsText" dxfId="6" priority="7" stopIfTrue="1" operator="containsText" text="NG">
      <formula>NOT(ISERROR(SEARCH("NG",I69)))</formula>
    </cfRule>
  </conditionalFormatting>
  <conditionalFormatting sqref="I73">
    <cfRule type="containsText" dxfId="5" priority="6" stopIfTrue="1" operator="containsText" text="NG">
      <formula>NOT(ISERROR(SEARCH("NG",I73)))</formula>
    </cfRule>
  </conditionalFormatting>
  <conditionalFormatting sqref="Q87">
    <cfRule type="containsText" dxfId="4" priority="5" stopIfTrue="1" operator="containsText" text="NG">
      <formula>NOT(ISERROR(SEARCH("NG",Q87)))</formula>
    </cfRule>
  </conditionalFormatting>
  <conditionalFormatting sqref="Q98">
    <cfRule type="containsText" dxfId="3" priority="4" stopIfTrue="1" operator="containsText" text="NG">
      <formula>NOT(ISERROR(SEARCH("NG",Q98)))</formula>
    </cfRule>
  </conditionalFormatting>
  <conditionalFormatting sqref="Q91">
    <cfRule type="containsText" dxfId="2" priority="3" stopIfTrue="1" operator="containsText" text="NG">
      <formula>NOT(ISERROR(SEARCH("NG",Q91)))</formula>
    </cfRule>
  </conditionalFormatting>
  <conditionalFormatting sqref="R67">
    <cfRule type="containsText" dxfId="1" priority="2" stopIfTrue="1" operator="containsText" text="NG">
      <formula>NOT(ISERROR(SEARCH("NG",R67)))</formula>
    </cfRule>
  </conditionalFormatting>
  <conditionalFormatting sqref="R63">
    <cfRule type="containsText" dxfId="0" priority="1" stopIfTrue="1" operator="containsText" text="NG">
      <formula>NOT(ISERROR(SEARCH("NG",R63)))</formula>
    </cfRule>
  </conditionalFormatting>
  <dataValidations count="11">
    <dataValidation type="list" allowBlank="1" showInputMessage="1" showErrorMessage="1" sqref="P64 P56">
      <formula1>"NO,YES"</formula1>
    </dataValidation>
    <dataValidation type="list" allowBlank="1" showInputMessage="1" showErrorMessage="1" sqref="P54">
      <formula1>"7/16,15/32"</formula1>
    </dataValidation>
    <dataValidation type="list" allowBlank="1" showInputMessage="1" showErrorMessage="1" sqref="P57">
      <formula1>"3,2"</formula1>
    </dataValidation>
    <dataValidation type="list" allowBlank="1" showInputMessage="1" showErrorMessage="1" sqref="P58">
      <formula1>"8d,10d"</formula1>
    </dataValidation>
    <dataValidation type="list" allowBlank="1" showInputMessage="1" showErrorMessage="1" sqref="P68">
      <formula1>$V$81:$V$95</formula1>
    </dataValidation>
    <dataValidation type="list" allowBlank="1" showInputMessage="1" showErrorMessage="1" sqref="P66">
      <formula1>$U$53:$U$61</formula1>
    </dataValidation>
    <dataValidation type="list" allowBlank="1" showInputMessage="1" showErrorMessage="1" sqref="P62">
      <formula1>$AA$81:$AA$90</formula1>
    </dataValidation>
    <dataValidation type="list" allowBlank="1" showInputMessage="1" showErrorMessage="1" sqref="P73">
      <formula1>$AB$101:$AB$104</formula1>
    </dataValidation>
    <dataValidation type="list" allowBlank="1" showInputMessage="1" showErrorMessage="1" sqref="P75">
      <formula1>$V$102:$V$106</formula1>
    </dataValidation>
    <dataValidation type="list" allowBlank="1" showInputMessage="1" showErrorMessage="1" sqref="P74">
      <formula1>"1,2,3,4,5,6"</formula1>
    </dataValidation>
    <dataValidation type="list" allowBlank="1" showInputMessage="1" showErrorMessage="1" sqref="P79:Q79">
      <formula1>$AE$98:$AE$100</formula1>
    </dataValidation>
  </dataValidations>
  <pageMargins left="0.5" right="0.5" top="0.75" bottom="0.25" header="0" footer="0"/>
  <pageSetup orientation="landscape" r:id="rId1"/>
  <ignoredErrors>
    <ignoredError sqref="F15 R52" unlockedFormula="1"/>
    <ignoredError sqref="H29" formula="1"/>
    <ignoredError sqref="U28 I69 E6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Medeek Design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P. Wilkerson</dc:creator>
  <cp:lastModifiedBy>NPW</cp:lastModifiedBy>
  <dcterms:created xsi:type="dcterms:W3CDTF">2015-08-19T06:05:34Z</dcterms:created>
  <dcterms:modified xsi:type="dcterms:W3CDTF">2015-08-25T09:07:40Z</dcterms:modified>
</cp:coreProperties>
</file>