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90" windowWidth="27660" windowHeight="14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Sheet1!$A$1:$R$50</definedName>
  </definedNames>
  <calcPr calcId="145621"/>
</workbook>
</file>

<file path=xl/calcChain.xml><?xml version="1.0" encoding="utf-8"?>
<calcChain xmlns="http://schemas.openxmlformats.org/spreadsheetml/2006/main">
  <c r="M40" i="1" l="1"/>
  <c r="X28" i="1" s="1"/>
  <c r="U44" i="1" s="1"/>
  <c r="AA44" i="1" s="1"/>
  <c r="I40" i="1"/>
  <c r="F40" i="1"/>
  <c r="U28" i="1"/>
  <c r="X27" i="1"/>
  <c r="U43" i="1" s="1"/>
  <c r="AA43" i="1" s="1"/>
  <c r="U27" i="1"/>
  <c r="X26" i="1"/>
  <c r="U26" i="1"/>
  <c r="U31" i="1" s="1"/>
  <c r="Q22" i="1"/>
  <c r="C7" i="1"/>
  <c r="B4" i="1"/>
  <c r="U33" i="1" l="1"/>
  <c r="K4" i="1"/>
  <c r="U47" i="1" s="1"/>
  <c r="U30" i="1"/>
  <c r="U34" i="1" s="1"/>
  <c r="V3" i="1" l="1"/>
  <c r="U36" i="1"/>
  <c r="V8" i="1" l="1"/>
  <c r="U37" i="1"/>
  <c r="V14" i="1" s="1"/>
  <c r="X3" i="1"/>
  <c r="V4" i="1"/>
  <c r="X4" i="1" s="1"/>
  <c r="Y47" i="1"/>
  <c r="X47" i="1"/>
  <c r="AB47" i="1" s="1"/>
  <c r="V47" i="1" s="1"/>
  <c r="I10" i="1"/>
  <c r="V13" i="1" l="1"/>
  <c r="X14" i="1"/>
  <c r="M15" i="1"/>
  <c r="F15" i="1"/>
  <c r="V7" i="1"/>
  <c r="X8" i="1"/>
  <c r="X7" i="1" l="1"/>
  <c r="U39" i="1"/>
  <c r="V9" i="1"/>
  <c r="X9" i="1" s="1"/>
  <c r="F19" i="1"/>
  <c r="V10" i="1"/>
  <c r="X10" i="1" s="1"/>
  <c r="F33" i="1"/>
  <c r="V16" i="1"/>
  <c r="X16" i="1" s="1"/>
  <c r="U40" i="1"/>
  <c r="M19" i="1"/>
  <c r="M33" i="1"/>
  <c r="V15" i="1"/>
  <c r="X15" i="1" s="1"/>
  <c r="X13" i="1"/>
  <c r="X44" i="1" l="1"/>
  <c r="Y44" i="1"/>
  <c r="Y43" i="1"/>
  <c r="X43" i="1"/>
  <c r="AB43" i="1" s="1"/>
  <c r="V43" i="1" s="1"/>
  <c r="K5" i="1" l="1"/>
  <c r="AB44" i="1"/>
  <c r="V44" i="1" s="1"/>
</calcChain>
</file>

<file path=xl/sharedStrings.xml><?xml version="1.0" encoding="utf-8"?>
<sst xmlns="http://schemas.openxmlformats.org/spreadsheetml/2006/main" count="113" uniqueCount="69">
  <si>
    <t>PORTAL FRAME CALCULATOR</t>
  </si>
  <si>
    <t>PFH1</t>
  </si>
  <si>
    <t>Vs =</t>
  </si>
  <si>
    <t>lbs</t>
  </si>
  <si>
    <t>Vw =</t>
  </si>
  <si>
    <t>Job#:</t>
  </si>
  <si>
    <t>2015-036</t>
  </si>
  <si>
    <t>Pony Wall Unit Shear:</t>
  </si>
  <si>
    <t>plf</t>
  </si>
  <si>
    <t>Total Wall Length:</t>
  </si>
  <si>
    <t>ft.</t>
  </si>
  <si>
    <t>Pony Wall Uplift:</t>
  </si>
  <si>
    <t>Portal Frame Deflection (ASD):</t>
  </si>
  <si>
    <t>in.</t>
  </si>
  <si>
    <t>SP1 Unit Shear:</t>
  </si>
  <si>
    <t>SP1 Shear:</t>
  </si>
  <si>
    <t>SP1 Uplift Left:</t>
  </si>
  <si>
    <t>SP1 Uplift Right:</t>
  </si>
  <si>
    <t>SP2 Unit Shear:</t>
  </si>
  <si>
    <t>SP2 Shear:</t>
  </si>
  <si>
    <t>Pony Wall above Opening</t>
  </si>
  <si>
    <t>SP2 Uplift Left:</t>
  </si>
  <si>
    <t>SP2 Uplift Right:</t>
  </si>
  <si>
    <t>Shear Panel Deflection Calculations</t>
  </si>
  <si>
    <t>E =</t>
  </si>
  <si>
    <r>
      <t xml:space="preserve">psi </t>
    </r>
    <r>
      <rPr>
        <sz val="7"/>
        <color indexed="8"/>
        <rFont val="Arial"/>
        <family val="2"/>
      </rPr>
      <t>(Modulus of Elasticity of End Studs)</t>
    </r>
  </si>
  <si>
    <t>A =</t>
  </si>
  <si>
    <r>
      <t>in</t>
    </r>
    <r>
      <rPr>
        <vertAlign val="superscript"/>
        <sz val="8"/>
        <color indexed="8"/>
        <rFont val="Arial"/>
        <family val="2"/>
      </rPr>
      <t>2</t>
    </r>
    <r>
      <rPr>
        <sz val="7"/>
        <color indexed="8"/>
        <rFont val="Arial"/>
        <family val="2"/>
      </rPr>
      <t xml:space="preserve"> (Area of End Studs)</t>
    </r>
  </si>
  <si>
    <r>
      <t>G</t>
    </r>
    <r>
      <rPr>
        <vertAlign val="subscript"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 xml:space="preserve"> =</t>
    </r>
  </si>
  <si>
    <r>
      <t xml:space="preserve">kips/in. </t>
    </r>
    <r>
      <rPr>
        <sz val="7"/>
        <color indexed="8"/>
        <rFont val="Arial"/>
        <family val="2"/>
      </rPr>
      <t>(TABLE 4.3A, 2012 SDPWS)</t>
    </r>
  </si>
  <si>
    <r>
      <t>Δ</t>
    </r>
    <r>
      <rPr>
        <vertAlign val="subscript"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 xml:space="preserve"> =</t>
    </r>
  </si>
  <si>
    <r>
      <t xml:space="preserve">in. </t>
    </r>
    <r>
      <rPr>
        <sz val="7"/>
        <color indexed="8"/>
        <rFont val="Arial"/>
        <family val="2"/>
      </rPr>
      <t>(Holdown Manuf. Specific)</t>
    </r>
  </si>
  <si>
    <t>Garage Door Opening</t>
  </si>
  <si>
    <t>Sht. both sides =</t>
  </si>
  <si>
    <t>NO</t>
  </si>
  <si>
    <t>Shear Panel 1</t>
  </si>
  <si>
    <t>Shear Panel 2</t>
  </si>
  <si>
    <t>C1:</t>
  </si>
  <si>
    <t>h =</t>
  </si>
  <si>
    <t>C2:</t>
  </si>
  <si>
    <t>b1 =</t>
  </si>
  <si>
    <t>C3:</t>
  </si>
  <si>
    <t>b2 =</t>
  </si>
  <si>
    <r>
      <t>C1h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/b</t>
    </r>
    <r>
      <rPr>
        <vertAlign val="sub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:</t>
    </r>
  </si>
  <si>
    <r>
      <t>C1h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/b</t>
    </r>
    <r>
      <rPr>
        <vertAlign val="sub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:</t>
    </r>
  </si>
  <si>
    <t>Numerator:</t>
  </si>
  <si>
    <t>Denominator:</t>
  </si>
  <si>
    <r>
      <t>V</t>
    </r>
    <r>
      <rPr>
        <vertAlign val="sub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=</t>
    </r>
  </si>
  <si>
    <r>
      <t>V</t>
    </r>
    <r>
      <rPr>
        <vertAlign val="sub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=</t>
    </r>
  </si>
  <si>
    <r>
      <t>v</t>
    </r>
    <r>
      <rPr>
        <vertAlign val="sub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=</t>
    </r>
  </si>
  <si>
    <r>
      <t>v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=</t>
    </r>
  </si>
  <si>
    <t>Panel #</t>
  </si>
  <si>
    <t>b (ft)</t>
  </si>
  <si>
    <r>
      <rPr>
        <sz val="8"/>
        <color indexed="8"/>
        <rFont val="Arial"/>
        <family val="2"/>
      </rPr>
      <t>Δs</t>
    </r>
  </si>
  <si>
    <r>
      <rPr>
        <sz val="8"/>
        <color indexed="8"/>
        <rFont val="Arial"/>
        <family val="2"/>
      </rPr>
      <t>Δb</t>
    </r>
  </si>
  <si>
    <r>
      <rPr>
        <sz val="8"/>
        <color indexed="8"/>
        <rFont val="Arial"/>
        <family val="2"/>
      </rPr>
      <t>Δv</t>
    </r>
  </si>
  <si>
    <r>
      <rPr>
        <sz val="8"/>
        <color indexed="8"/>
        <rFont val="Arial"/>
        <family val="2"/>
      </rPr>
      <t>Δn</t>
    </r>
  </si>
  <si>
    <r>
      <rPr>
        <sz val="8"/>
        <color indexed="8"/>
        <rFont val="Arial"/>
        <family val="2"/>
      </rPr>
      <t>Δa</t>
    </r>
  </si>
  <si>
    <r>
      <rPr>
        <b/>
        <sz val="8"/>
        <color indexed="8"/>
        <rFont val="Arial"/>
        <family val="2"/>
      </rPr>
      <t>Δs</t>
    </r>
  </si>
  <si>
    <t>in</t>
  </si>
  <si>
    <t>Pony Wall</t>
  </si>
  <si>
    <t>Rev. 1.0.0 - 08/18/2015</t>
  </si>
  <si>
    <t>Copyright © 2015 - Medeek Engineering Inc.</t>
  </si>
  <si>
    <t>*Notes:</t>
  </si>
  <si>
    <t>1.) Shear Distribution based on equivalent deflection of each shear panel.</t>
  </si>
  <si>
    <t>2.) Holdown forces conservative since moment capacity of nail grid into header will reduce these loads signficantly.</t>
  </si>
  <si>
    <r>
      <t>lbs</t>
    </r>
    <r>
      <rPr>
        <sz val="7"/>
        <color theme="1"/>
        <rFont val="Arial"/>
        <family val="2"/>
      </rPr>
      <t xml:space="preserve"> (ASD)</t>
    </r>
  </si>
  <si>
    <r>
      <t xml:space="preserve">lbs </t>
    </r>
    <r>
      <rPr>
        <sz val="7"/>
        <color theme="1"/>
        <rFont val="Arial"/>
        <family val="2"/>
      </rPr>
      <t>(ASD)</t>
    </r>
  </si>
  <si>
    <t>3.) Holdown forces conservative since counteracting dead loads (LC7:  0.6D + 0.6W) are not considered in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</si>
</sst>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0.000"/>
    <numFmt numFmtId="167" formatCode="#,##0.000"/>
    <numFmt numFmtId="168" formatCode="0.00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"/>
      <name val="Arial"/>
      <family val="2"/>
    </font>
    <font>
      <sz val="7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sz val="8"/>
      <color indexed="8"/>
      <name val="Arial"/>
      <family val="2"/>
    </font>
    <font>
      <sz val="7"/>
      <color theme="1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4F1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/>
    <xf numFmtId="165" fontId="4" fillId="0" borderId="0" xfId="0" applyNumberFormat="1" applyFont="1"/>
    <xf numFmtId="168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8" fontId="3" fillId="0" borderId="0" xfId="0" applyNumberFormat="1" applyFont="1"/>
    <xf numFmtId="0" fontId="13" fillId="0" borderId="0" xfId="0" applyFont="1" applyAlignment="1">
      <alignment horizontal="right" vertical="center"/>
    </xf>
    <xf numFmtId="0" fontId="14" fillId="0" borderId="0" xfId="0" applyFont="1"/>
    <xf numFmtId="4" fontId="4" fillId="2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 applyProtection="1">
      <alignment vertical="center"/>
      <protection locked="0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2" borderId="0" xfId="0" applyNumberFormat="1" applyFont="1" applyFill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166" fontId="4" fillId="0" borderId="0" xfId="0" applyNumberFormat="1" applyFont="1" applyFill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164" fontId="4" fillId="3" borderId="0" xfId="0" applyNumberFormat="1" applyFont="1" applyFill="1" applyAlignment="1" applyProtection="1">
      <alignment vertical="center"/>
    </xf>
    <xf numFmtId="3" fontId="4" fillId="3" borderId="0" xfId="0" applyNumberFormat="1" applyFont="1" applyFill="1" applyAlignment="1" applyProtection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14</xdr:col>
      <xdr:colOff>0</xdr:colOff>
      <xdr:row>8</xdr:row>
      <xdr:rowOff>0</xdr:rowOff>
    </xdr:to>
    <xdr:cxnSp macro="">
      <xdr:nvCxnSpPr>
        <xdr:cNvPr id="2" name="Straight Connector 1"/>
        <xdr:cNvCxnSpPr/>
      </xdr:nvCxnSpPr>
      <xdr:spPr>
        <a:xfrm>
          <a:off x="1304925" y="1162050"/>
          <a:ext cx="56197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cxnSp macro="">
      <xdr:nvCxnSpPr>
        <xdr:cNvPr id="3" name="Straight Connector 2"/>
        <xdr:cNvCxnSpPr/>
      </xdr:nvCxnSpPr>
      <xdr:spPr>
        <a:xfrm>
          <a:off x="1304925" y="2447925"/>
          <a:ext cx="56197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35</xdr:row>
      <xdr:rowOff>0</xdr:rowOff>
    </xdr:to>
    <xdr:cxnSp macro="">
      <xdr:nvCxnSpPr>
        <xdr:cNvPr id="4" name="Straight Connector 3"/>
        <xdr:cNvCxnSpPr/>
      </xdr:nvCxnSpPr>
      <xdr:spPr>
        <a:xfrm>
          <a:off x="1304925" y="1162050"/>
          <a:ext cx="0" cy="38671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</xdr:row>
      <xdr:rowOff>0</xdr:rowOff>
    </xdr:from>
    <xdr:to>
      <xdr:col>14</xdr:col>
      <xdr:colOff>0</xdr:colOff>
      <xdr:row>35</xdr:row>
      <xdr:rowOff>0</xdr:rowOff>
    </xdr:to>
    <xdr:cxnSp macro="">
      <xdr:nvCxnSpPr>
        <xdr:cNvPr id="5" name="Straight Connector 4"/>
        <xdr:cNvCxnSpPr/>
      </xdr:nvCxnSpPr>
      <xdr:spPr>
        <a:xfrm>
          <a:off x="6924675" y="1162050"/>
          <a:ext cx="0" cy="38671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35</xdr:row>
      <xdr:rowOff>0</xdr:rowOff>
    </xdr:to>
    <xdr:cxnSp macro="">
      <xdr:nvCxnSpPr>
        <xdr:cNvPr id="6" name="Straight Connector 5"/>
        <xdr:cNvCxnSpPr/>
      </xdr:nvCxnSpPr>
      <xdr:spPr>
        <a:xfrm>
          <a:off x="2781300" y="2447925"/>
          <a:ext cx="0" cy="25812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35</xdr:row>
      <xdr:rowOff>0</xdr:rowOff>
    </xdr:to>
    <xdr:cxnSp macro="">
      <xdr:nvCxnSpPr>
        <xdr:cNvPr id="7" name="Straight Connector 6"/>
        <xdr:cNvCxnSpPr/>
      </xdr:nvCxnSpPr>
      <xdr:spPr>
        <a:xfrm>
          <a:off x="5448300" y="2447925"/>
          <a:ext cx="0" cy="25812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35</xdr:row>
      <xdr:rowOff>0</xdr:rowOff>
    </xdr:from>
    <xdr:to>
      <xdr:col>7</xdr:col>
      <xdr:colOff>0</xdr:colOff>
      <xdr:row>35</xdr:row>
      <xdr:rowOff>0</xdr:rowOff>
    </xdr:to>
    <xdr:cxnSp macro="">
      <xdr:nvCxnSpPr>
        <xdr:cNvPr id="8" name="Straight Connector 7"/>
        <xdr:cNvCxnSpPr/>
      </xdr:nvCxnSpPr>
      <xdr:spPr>
        <a:xfrm>
          <a:off x="1304925" y="5029200"/>
          <a:ext cx="147637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35</xdr:row>
      <xdr:rowOff>0</xdr:rowOff>
    </xdr:from>
    <xdr:to>
      <xdr:col>14</xdr:col>
      <xdr:colOff>0</xdr:colOff>
      <xdr:row>35</xdr:row>
      <xdr:rowOff>0</xdr:rowOff>
    </xdr:to>
    <xdr:cxnSp macro="">
      <xdr:nvCxnSpPr>
        <xdr:cNvPr id="9" name="Straight Connector 8"/>
        <xdr:cNvCxnSpPr/>
      </xdr:nvCxnSpPr>
      <xdr:spPr>
        <a:xfrm>
          <a:off x="5448300" y="5029200"/>
          <a:ext cx="147637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10" name="Straight Arrow Connector 9"/>
        <xdr:cNvCxnSpPr/>
      </xdr:nvCxnSpPr>
      <xdr:spPr>
        <a:xfrm>
          <a:off x="466725" y="1162050"/>
          <a:ext cx="609600" cy="0"/>
        </a:xfrm>
        <a:prstGeom prst="straightConnector1">
          <a:avLst/>
        </a:prstGeom>
        <a:ln w="15875">
          <a:solidFill>
            <a:srgbClr val="24451B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0</xdr:rowOff>
    </xdr:from>
    <xdr:to>
      <xdr:col>6</xdr:col>
      <xdr:colOff>0</xdr:colOff>
      <xdr:row>16</xdr:row>
      <xdr:rowOff>0</xdr:rowOff>
    </xdr:to>
    <xdr:cxnSp macro="">
      <xdr:nvCxnSpPr>
        <xdr:cNvPr id="11" name="Straight Arrow Connector 10"/>
        <xdr:cNvCxnSpPr/>
      </xdr:nvCxnSpPr>
      <xdr:spPr>
        <a:xfrm>
          <a:off x="1685925" y="2305050"/>
          <a:ext cx="714375" cy="0"/>
        </a:xfrm>
        <a:prstGeom prst="straightConnector1">
          <a:avLst/>
        </a:prstGeom>
        <a:ln w="15875">
          <a:solidFill>
            <a:srgbClr val="24451B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cxnSp macro="">
      <xdr:nvCxnSpPr>
        <xdr:cNvPr id="12" name="Straight Arrow Connector 11"/>
        <xdr:cNvCxnSpPr/>
      </xdr:nvCxnSpPr>
      <xdr:spPr>
        <a:xfrm>
          <a:off x="5829300" y="2305050"/>
          <a:ext cx="714375" cy="0"/>
        </a:xfrm>
        <a:prstGeom prst="straightConnector1">
          <a:avLst/>
        </a:prstGeom>
        <a:ln w="15875">
          <a:solidFill>
            <a:srgbClr val="24451B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380999</xdr:colOff>
      <xdr:row>34</xdr:row>
      <xdr:rowOff>0</xdr:rowOff>
    </xdr:from>
    <xdr:to>
      <xdr:col>6</xdr:col>
      <xdr:colOff>0</xdr:colOff>
      <xdr:row>34</xdr:row>
      <xdr:rowOff>0</xdr:rowOff>
    </xdr:to>
    <xdr:cxnSp macro="">
      <xdr:nvCxnSpPr>
        <xdr:cNvPr id="13" name="Straight Arrow Connector 12"/>
        <xdr:cNvCxnSpPr/>
      </xdr:nvCxnSpPr>
      <xdr:spPr>
        <a:xfrm flipH="1">
          <a:off x="1685924" y="4876800"/>
          <a:ext cx="714376" cy="0"/>
        </a:xfrm>
        <a:prstGeom prst="straightConnector1">
          <a:avLst/>
        </a:prstGeom>
        <a:ln w="12700">
          <a:solidFill>
            <a:srgbClr val="24451B"/>
          </a:solidFill>
          <a:headEnd type="none"/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34</xdr:row>
      <xdr:rowOff>0</xdr:rowOff>
    </xdr:from>
    <xdr:to>
      <xdr:col>13</xdr:col>
      <xdr:colOff>0</xdr:colOff>
      <xdr:row>34</xdr:row>
      <xdr:rowOff>0</xdr:rowOff>
    </xdr:to>
    <xdr:cxnSp macro="">
      <xdr:nvCxnSpPr>
        <xdr:cNvPr id="14" name="Straight Arrow Connector 13"/>
        <xdr:cNvCxnSpPr/>
      </xdr:nvCxnSpPr>
      <xdr:spPr>
        <a:xfrm flipH="1">
          <a:off x="5829300" y="4876800"/>
          <a:ext cx="714375" cy="0"/>
        </a:xfrm>
        <a:prstGeom prst="straightConnector1">
          <a:avLst/>
        </a:prstGeom>
        <a:ln w="12700">
          <a:solidFill>
            <a:srgbClr val="24451B"/>
          </a:solidFill>
          <a:headEnd type="none"/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cxnSp macro="">
      <xdr:nvCxnSpPr>
        <xdr:cNvPr id="15" name="Straight Arrow Connector 14"/>
        <xdr:cNvCxnSpPr/>
      </xdr:nvCxnSpPr>
      <xdr:spPr>
        <a:xfrm>
          <a:off x="5829300" y="2876550"/>
          <a:ext cx="714375" cy="0"/>
        </a:xfrm>
        <a:prstGeom prst="straightConnector1">
          <a:avLst/>
        </a:prstGeom>
        <a:ln w="12700">
          <a:solidFill>
            <a:srgbClr val="24451B"/>
          </a:solidFill>
          <a:headEnd type="none"/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16" name="Straight Arrow Connector 15"/>
        <xdr:cNvCxnSpPr/>
      </xdr:nvCxnSpPr>
      <xdr:spPr>
        <a:xfrm>
          <a:off x="1685925" y="2876550"/>
          <a:ext cx="714375" cy="0"/>
        </a:xfrm>
        <a:prstGeom prst="straightConnector1">
          <a:avLst/>
        </a:prstGeom>
        <a:ln w="12700">
          <a:solidFill>
            <a:srgbClr val="24451B"/>
          </a:solidFill>
          <a:headEnd type="none"/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</xdr:row>
      <xdr:rowOff>0</xdr:rowOff>
    </xdr:from>
    <xdr:to>
      <xdr:col>17</xdr:col>
      <xdr:colOff>0</xdr:colOff>
      <xdr:row>8</xdr:row>
      <xdr:rowOff>0</xdr:rowOff>
    </xdr:to>
    <xdr:cxnSp macro="">
      <xdr:nvCxnSpPr>
        <xdr:cNvPr id="17" name="Straight Connector 16"/>
        <xdr:cNvCxnSpPr/>
      </xdr:nvCxnSpPr>
      <xdr:spPr>
        <a:xfrm>
          <a:off x="7096125" y="1162050"/>
          <a:ext cx="628650" cy="0"/>
        </a:xfrm>
        <a:prstGeom prst="line">
          <a:avLst/>
        </a:prstGeom>
        <a:ln w="9525">
          <a:solidFill>
            <a:srgbClr val="24451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35</xdr:row>
      <xdr:rowOff>0</xdr:rowOff>
    </xdr:from>
    <xdr:to>
      <xdr:col>17</xdr:col>
      <xdr:colOff>0</xdr:colOff>
      <xdr:row>35</xdr:row>
      <xdr:rowOff>0</xdr:rowOff>
    </xdr:to>
    <xdr:cxnSp macro="">
      <xdr:nvCxnSpPr>
        <xdr:cNvPr id="18" name="Straight Connector 17"/>
        <xdr:cNvCxnSpPr/>
      </xdr:nvCxnSpPr>
      <xdr:spPr>
        <a:xfrm>
          <a:off x="7096125" y="5029200"/>
          <a:ext cx="628650" cy="0"/>
        </a:xfrm>
        <a:prstGeom prst="line">
          <a:avLst/>
        </a:prstGeom>
        <a:ln w="9525">
          <a:solidFill>
            <a:srgbClr val="24451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</xdr:row>
      <xdr:rowOff>0</xdr:rowOff>
    </xdr:from>
    <xdr:to>
      <xdr:col>16</xdr:col>
      <xdr:colOff>0</xdr:colOff>
      <xdr:row>17</xdr:row>
      <xdr:rowOff>0</xdr:rowOff>
    </xdr:to>
    <xdr:cxnSp macro="">
      <xdr:nvCxnSpPr>
        <xdr:cNvPr id="19" name="Straight Connector 18"/>
        <xdr:cNvCxnSpPr/>
      </xdr:nvCxnSpPr>
      <xdr:spPr>
        <a:xfrm>
          <a:off x="7096125" y="2447925"/>
          <a:ext cx="314325" cy="0"/>
        </a:xfrm>
        <a:prstGeom prst="line">
          <a:avLst/>
        </a:prstGeom>
        <a:ln w="9525">
          <a:solidFill>
            <a:srgbClr val="24451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0</xdr:rowOff>
    </xdr:from>
    <xdr:to>
      <xdr:col>16</xdr:col>
      <xdr:colOff>0</xdr:colOff>
      <xdr:row>25</xdr:row>
      <xdr:rowOff>0</xdr:rowOff>
    </xdr:to>
    <xdr:cxnSp macro="">
      <xdr:nvCxnSpPr>
        <xdr:cNvPr id="20" name="Straight Arrow Connector 19"/>
        <xdr:cNvCxnSpPr/>
      </xdr:nvCxnSpPr>
      <xdr:spPr>
        <a:xfrm flipV="1">
          <a:off x="7410450" y="2447925"/>
          <a:ext cx="0" cy="1143000"/>
        </a:xfrm>
        <a:prstGeom prst="straightConnector1">
          <a:avLst/>
        </a:prstGeom>
        <a:ln w="9525">
          <a:solidFill>
            <a:srgbClr val="24451B"/>
          </a:solidFill>
          <a:headEnd type="none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8</xdr:row>
      <xdr:rowOff>0</xdr:rowOff>
    </xdr:from>
    <xdr:to>
      <xdr:col>16</xdr:col>
      <xdr:colOff>0</xdr:colOff>
      <xdr:row>11</xdr:row>
      <xdr:rowOff>0</xdr:rowOff>
    </xdr:to>
    <xdr:cxnSp macro="">
      <xdr:nvCxnSpPr>
        <xdr:cNvPr id="21" name="Straight Arrow Connector 20"/>
        <xdr:cNvCxnSpPr/>
      </xdr:nvCxnSpPr>
      <xdr:spPr>
        <a:xfrm flipV="1">
          <a:off x="7410450" y="1162050"/>
          <a:ext cx="0" cy="428625"/>
        </a:xfrm>
        <a:prstGeom prst="straightConnector1">
          <a:avLst/>
        </a:prstGeom>
        <a:ln w="9525">
          <a:solidFill>
            <a:srgbClr val="24451B"/>
          </a:solidFill>
          <a:headEnd type="none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0</xdr:colOff>
      <xdr:row>17</xdr:row>
      <xdr:rowOff>0</xdr:rowOff>
    </xdr:to>
    <xdr:cxnSp macro="">
      <xdr:nvCxnSpPr>
        <xdr:cNvPr id="22" name="Straight Arrow Connector 21"/>
        <xdr:cNvCxnSpPr/>
      </xdr:nvCxnSpPr>
      <xdr:spPr>
        <a:xfrm>
          <a:off x="7410450" y="1733550"/>
          <a:ext cx="0" cy="714375"/>
        </a:xfrm>
        <a:prstGeom prst="straightConnector1">
          <a:avLst/>
        </a:prstGeom>
        <a:ln w="9525">
          <a:solidFill>
            <a:srgbClr val="24451B"/>
          </a:solidFill>
          <a:headEnd type="none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35</xdr:row>
      <xdr:rowOff>0</xdr:rowOff>
    </xdr:to>
    <xdr:cxnSp macro="">
      <xdr:nvCxnSpPr>
        <xdr:cNvPr id="23" name="Straight Arrow Connector 22"/>
        <xdr:cNvCxnSpPr/>
      </xdr:nvCxnSpPr>
      <xdr:spPr>
        <a:xfrm>
          <a:off x="7410450" y="3733800"/>
          <a:ext cx="0" cy="1295400"/>
        </a:xfrm>
        <a:prstGeom prst="straightConnector1">
          <a:avLst/>
        </a:prstGeom>
        <a:ln w="9525">
          <a:solidFill>
            <a:srgbClr val="24451B"/>
          </a:solidFill>
          <a:headEnd type="none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8</xdr:row>
      <xdr:rowOff>0</xdr:rowOff>
    </xdr:from>
    <xdr:to>
      <xdr:col>17</xdr:col>
      <xdr:colOff>0</xdr:colOff>
      <xdr:row>21</xdr:row>
      <xdr:rowOff>0</xdr:rowOff>
    </xdr:to>
    <xdr:cxnSp macro="">
      <xdr:nvCxnSpPr>
        <xdr:cNvPr id="24" name="Straight Arrow Connector 23"/>
        <xdr:cNvCxnSpPr/>
      </xdr:nvCxnSpPr>
      <xdr:spPr>
        <a:xfrm flipV="1">
          <a:off x="7724775" y="1162050"/>
          <a:ext cx="0" cy="1857375"/>
        </a:xfrm>
        <a:prstGeom prst="straightConnector1">
          <a:avLst/>
        </a:prstGeom>
        <a:ln w="9525">
          <a:solidFill>
            <a:srgbClr val="24451B"/>
          </a:solidFill>
          <a:headEnd type="none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22</xdr:row>
      <xdr:rowOff>7620</xdr:rowOff>
    </xdr:from>
    <xdr:to>
      <xdr:col>17</xdr:col>
      <xdr:colOff>0</xdr:colOff>
      <xdr:row>35</xdr:row>
      <xdr:rowOff>0</xdr:rowOff>
    </xdr:to>
    <xdr:cxnSp macro="">
      <xdr:nvCxnSpPr>
        <xdr:cNvPr id="25" name="Straight Arrow Connector 24"/>
        <xdr:cNvCxnSpPr/>
      </xdr:nvCxnSpPr>
      <xdr:spPr>
        <a:xfrm>
          <a:off x="7724775" y="3169920"/>
          <a:ext cx="0" cy="1859280"/>
        </a:xfrm>
        <a:prstGeom prst="straightConnector1">
          <a:avLst/>
        </a:prstGeom>
        <a:ln w="9525">
          <a:solidFill>
            <a:srgbClr val="24451B"/>
          </a:solidFill>
          <a:headEnd type="none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2</xdr:colOff>
      <xdr:row>25</xdr:row>
      <xdr:rowOff>121919</xdr:rowOff>
    </xdr:from>
    <xdr:ext cx="195568" cy="890264"/>
    <xdr:sp macro="" textlink="">
      <xdr:nvSpPr>
        <xdr:cNvPr id="26" name="TextBox 25"/>
        <xdr:cNvSpPr txBox="1"/>
      </xdr:nvSpPr>
      <xdr:spPr>
        <a:xfrm rot="16200000">
          <a:off x="7377429" y="4060192"/>
          <a:ext cx="890264" cy="1955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Stud Wall Height</a:t>
          </a:r>
        </a:p>
      </xdr:txBody>
    </xdr:sp>
    <xdr:clientData/>
  </xdr:oneCellAnchor>
  <xdr:oneCellAnchor>
    <xdr:from>
      <xdr:col>15</xdr:col>
      <xdr:colOff>111788</xdr:colOff>
      <xdr:row>27</xdr:row>
      <xdr:rowOff>0</xdr:rowOff>
    </xdr:from>
    <xdr:ext cx="213398" cy="906780"/>
    <xdr:sp macro="" textlink="">
      <xdr:nvSpPr>
        <xdr:cNvPr id="27" name="TextBox 26"/>
        <xdr:cNvSpPr txBox="1"/>
      </xdr:nvSpPr>
      <xdr:spPr>
        <a:xfrm rot="16200000">
          <a:off x="6861222" y="4223366"/>
          <a:ext cx="906780" cy="213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Shear Panel Hgt.</a:t>
          </a:r>
        </a:p>
      </xdr:txBody>
    </xdr:sp>
    <xdr:clientData/>
  </xdr:oneCellAnchor>
  <xdr:oneCellAnchor>
    <xdr:from>
      <xdr:col>15</xdr:col>
      <xdr:colOff>111788</xdr:colOff>
      <xdr:row>12</xdr:row>
      <xdr:rowOff>0</xdr:rowOff>
    </xdr:from>
    <xdr:ext cx="195568" cy="868680"/>
    <xdr:sp macro="" textlink="">
      <xdr:nvSpPr>
        <xdr:cNvPr id="28" name="TextBox 27"/>
        <xdr:cNvSpPr txBox="1"/>
      </xdr:nvSpPr>
      <xdr:spPr>
        <a:xfrm rot="16200000">
          <a:off x="6871357" y="2070106"/>
          <a:ext cx="868680" cy="1955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600">
              <a:latin typeface="Arial" panose="020B0604020202020204" pitchFamily="34" charset="0"/>
              <a:cs typeface="Arial" panose="020B0604020202020204" pitchFamily="34" charset="0"/>
            </a:rPr>
            <a:t>Pony Wall Hgt</a:t>
          </a:r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oneCellAnchor>
  <xdr:twoCellAnchor>
    <xdr:from>
      <xdr:col>8</xdr:col>
      <xdr:colOff>0</xdr:colOff>
      <xdr:row>11</xdr:row>
      <xdr:rowOff>0</xdr:rowOff>
    </xdr:from>
    <xdr:to>
      <xdr:col>10</xdr:col>
      <xdr:colOff>0</xdr:colOff>
      <xdr:row>11</xdr:row>
      <xdr:rowOff>0</xdr:rowOff>
    </xdr:to>
    <xdr:cxnSp macro="">
      <xdr:nvCxnSpPr>
        <xdr:cNvPr id="29" name="Straight Arrow Connector 28"/>
        <xdr:cNvCxnSpPr/>
      </xdr:nvCxnSpPr>
      <xdr:spPr>
        <a:xfrm>
          <a:off x="3448050" y="1590675"/>
          <a:ext cx="1333500" cy="0"/>
        </a:xfrm>
        <a:prstGeom prst="straightConnector1">
          <a:avLst/>
        </a:prstGeom>
        <a:ln w="12700">
          <a:solidFill>
            <a:srgbClr val="24451B"/>
          </a:solidFill>
          <a:headEnd type="none"/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39</xdr:row>
      <xdr:rowOff>0</xdr:rowOff>
    </xdr:from>
    <xdr:to>
      <xdr:col>7</xdr:col>
      <xdr:colOff>0</xdr:colOff>
      <xdr:row>39</xdr:row>
      <xdr:rowOff>0</xdr:rowOff>
    </xdr:to>
    <xdr:cxnSp macro="">
      <xdr:nvCxnSpPr>
        <xdr:cNvPr id="30" name="Straight Arrow Connector 29"/>
        <xdr:cNvCxnSpPr/>
      </xdr:nvCxnSpPr>
      <xdr:spPr>
        <a:xfrm flipH="1">
          <a:off x="1304925" y="5600700"/>
          <a:ext cx="1476375" cy="0"/>
        </a:xfrm>
        <a:prstGeom prst="straightConnector1">
          <a:avLst/>
        </a:prstGeom>
        <a:ln w="9525">
          <a:solidFill>
            <a:srgbClr val="24451B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40</xdr:row>
      <xdr:rowOff>0</xdr:rowOff>
    </xdr:to>
    <xdr:cxnSp macro="">
      <xdr:nvCxnSpPr>
        <xdr:cNvPr id="31" name="Straight Connector 30"/>
        <xdr:cNvCxnSpPr/>
      </xdr:nvCxnSpPr>
      <xdr:spPr>
        <a:xfrm>
          <a:off x="1304925" y="5172075"/>
          <a:ext cx="0" cy="571500"/>
        </a:xfrm>
        <a:prstGeom prst="line">
          <a:avLst/>
        </a:prstGeom>
        <a:ln w="9525">
          <a:solidFill>
            <a:srgbClr val="24451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40</xdr:row>
      <xdr:rowOff>0</xdr:rowOff>
    </xdr:to>
    <xdr:cxnSp macro="">
      <xdr:nvCxnSpPr>
        <xdr:cNvPr id="32" name="Straight Connector 31"/>
        <xdr:cNvCxnSpPr/>
      </xdr:nvCxnSpPr>
      <xdr:spPr>
        <a:xfrm>
          <a:off x="2781300" y="5172075"/>
          <a:ext cx="0" cy="571500"/>
        </a:xfrm>
        <a:prstGeom prst="line">
          <a:avLst/>
        </a:prstGeom>
        <a:ln w="9525">
          <a:solidFill>
            <a:srgbClr val="24451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40</xdr:row>
      <xdr:rowOff>0</xdr:rowOff>
    </xdr:to>
    <xdr:cxnSp macro="">
      <xdr:nvCxnSpPr>
        <xdr:cNvPr id="33" name="Straight Connector 32"/>
        <xdr:cNvCxnSpPr/>
      </xdr:nvCxnSpPr>
      <xdr:spPr>
        <a:xfrm>
          <a:off x="5448300" y="5172075"/>
          <a:ext cx="0" cy="571500"/>
        </a:xfrm>
        <a:prstGeom prst="line">
          <a:avLst/>
        </a:prstGeom>
        <a:ln w="9525">
          <a:solidFill>
            <a:srgbClr val="24451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0</xdr:colOff>
      <xdr:row>40</xdr:row>
      <xdr:rowOff>0</xdr:rowOff>
    </xdr:to>
    <xdr:cxnSp macro="">
      <xdr:nvCxnSpPr>
        <xdr:cNvPr id="34" name="Straight Connector 33"/>
        <xdr:cNvCxnSpPr/>
      </xdr:nvCxnSpPr>
      <xdr:spPr>
        <a:xfrm>
          <a:off x="6924675" y="5172075"/>
          <a:ext cx="0" cy="571500"/>
        </a:xfrm>
        <a:prstGeom prst="line">
          <a:avLst/>
        </a:prstGeom>
        <a:ln w="9525">
          <a:solidFill>
            <a:srgbClr val="24451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39</xdr:row>
      <xdr:rowOff>0</xdr:rowOff>
    </xdr:from>
    <xdr:to>
      <xdr:col>11</xdr:col>
      <xdr:colOff>0</xdr:colOff>
      <xdr:row>39</xdr:row>
      <xdr:rowOff>0</xdr:rowOff>
    </xdr:to>
    <xdr:cxnSp macro="">
      <xdr:nvCxnSpPr>
        <xdr:cNvPr id="35" name="Straight Arrow Connector 34"/>
        <xdr:cNvCxnSpPr/>
      </xdr:nvCxnSpPr>
      <xdr:spPr>
        <a:xfrm flipH="1">
          <a:off x="2781300" y="5600700"/>
          <a:ext cx="2667000" cy="0"/>
        </a:xfrm>
        <a:prstGeom prst="straightConnector1">
          <a:avLst/>
        </a:prstGeom>
        <a:ln w="9525">
          <a:solidFill>
            <a:srgbClr val="24451B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39</xdr:row>
      <xdr:rowOff>0</xdr:rowOff>
    </xdr:from>
    <xdr:to>
      <xdr:col>14</xdr:col>
      <xdr:colOff>0</xdr:colOff>
      <xdr:row>39</xdr:row>
      <xdr:rowOff>0</xdr:rowOff>
    </xdr:to>
    <xdr:cxnSp macro="">
      <xdr:nvCxnSpPr>
        <xdr:cNvPr id="36" name="Straight Arrow Connector 35"/>
        <xdr:cNvCxnSpPr/>
      </xdr:nvCxnSpPr>
      <xdr:spPr>
        <a:xfrm flipH="1">
          <a:off x="5448300" y="5600700"/>
          <a:ext cx="1476375" cy="0"/>
        </a:xfrm>
        <a:prstGeom prst="straightConnector1">
          <a:avLst/>
        </a:prstGeom>
        <a:ln w="9525">
          <a:solidFill>
            <a:srgbClr val="24451B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45</xdr:row>
      <xdr:rowOff>0</xdr:rowOff>
    </xdr:to>
    <xdr:cxnSp macro="">
      <xdr:nvCxnSpPr>
        <xdr:cNvPr id="37" name="Straight Connector 36"/>
        <xdr:cNvCxnSpPr/>
      </xdr:nvCxnSpPr>
      <xdr:spPr>
        <a:xfrm>
          <a:off x="1394460" y="5935980"/>
          <a:ext cx="0" cy="579120"/>
        </a:xfrm>
        <a:prstGeom prst="line">
          <a:avLst/>
        </a:prstGeom>
        <a:ln w="15875">
          <a:solidFill>
            <a:schemeClr val="accent2">
              <a:lumMod val="50000"/>
            </a:schemeClr>
          </a:solidFill>
          <a:headEnd type="stealth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0</xdr:colOff>
      <xdr:row>39</xdr:row>
      <xdr:rowOff>53340</xdr:rowOff>
    </xdr:from>
    <xdr:ext cx="195566" cy="762000"/>
    <xdr:sp macro="" textlink="$X$9">
      <xdr:nvSpPr>
        <xdr:cNvPr id="38" name="TextBox 37"/>
        <xdr:cNvSpPr txBox="1"/>
      </xdr:nvSpPr>
      <xdr:spPr>
        <a:xfrm rot="16200000">
          <a:off x="1111243" y="5982977"/>
          <a:ext cx="76200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52E3682A-9BAF-41F1-AF29-B15CD1E4A5DA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1568.7 lbs</a:t>
          </a:fld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5</xdr:col>
      <xdr:colOff>0</xdr:colOff>
      <xdr:row>9</xdr:row>
      <xdr:rowOff>0</xdr:rowOff>
    </xdr:from>
    <xdr:to>
      <xdr:col>5</xdr:col>
      <xdr:colOff>0</xdr:colOff>
      <xdr:row>13</xdr:row>
      <xdr:rowOff>0</xdr:rowOff>
    </xdr:to>
    <xdr:cxnSp macro="">
      <xdr:nvCxnSpPr>
        <xdr:cNvPr id="39" name="Straight Connector 38"/>
        <xdr:cNvCxnSpPr/>
      </xdr:nvCxnSpPr>
      <xdr:spPr>
        <a:xfrm>
          <a:off x="1685925" y="1304925"/>
          <a:ext cx="0" cy="571500"/>
        </a:xfrm>
        <a:prstGeom prst="line">
          <a:avLst/>
        </a:prstGeom>
        <a:ln w="15875">
          <a:solidFill>
            <a:schemeClr val="accent2">
              <a:lumMod val="75000"/>
            </a:schemeClr>
          </a:solidFill>
          <a:headEnd type="stealth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cxnSp macro="">
      <xdr:nvCxnSpPr>
        <xdr:cNvPr id="40" name="Straight Connector 39"/>
        <xdr:cNvCxnSpPr/>
      </xdr:nvCxnSpPr>
      <xdr:spPr>
        <a:xfrm>
          <a:off x="2842260" y="5935980"/>
          <a:ext cx="0" cy="579120"/>
        </a:xfrm>
        <a:prstGeom prst="line">
          <a:avLst/>
        </a:prstGeom>
        <a:ln w="15875">
          <a:solidFill>
            <a:schemeClr val="accent2">
              <a:lumMod val="50000"/>
            </a:schemeClr>
          </a:solidFill>
          <a:headEnd type="stealth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0</xdr:colOff>
      <xdr:row>45</xdr:row>
      <xdr:rowOff>0</xdr:rowOff>
    </xdr:to>
    <xdr:cxnSp macro="">
      <xdr:nvCxnSpPr>
        <xdr:cNvPr id="41" name="Straight Connector 40"/>
        <xdr:cNvCxnSpPr/>
      </xdr:nvCxnSpPr>
      <xdr:spPr>
        <a:xfrm>
          <a:off x="5539740" y="5935980"/>
          <a:ext cx="0" cy="579120"/>
        </a:xfrm>
        <a:prstGeom prst="line">
          <a:avLst/>
        </a:prstGeom>
        <a:ln w="15875">
          <a:solidFill>
            <a:schemeClr val="accent2">
              <a:lumMod val="50000"/>
            </a:schemeClr>
          </a:solidFill>
          <a:headEnd type="stealth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0</xdr:colOff>
      <xdr:row>45</xdr:row>
      <xdr:rowOff>0</xdr:rowOff>
    </xdr:to>
    <xdr:cxnSp macro="">
      <xdr:nvCxnSpPr>
        <xdr:cNvPr id="42" name="Straight Connector 41"/>
        <xdr:cNvCxnSpPr/>
      </xdr:nvCxnSpPr>
      <xdr:spPr>
        <a:xfrm>
          <a:off x="6926580" y="5935980"/>
          <a:ext cx="0" cy="579120"/>
        </a:xfrm>
        <a:prstGeom prst="line">
          <a:avLst/>
        </a:prstGeom>
        <a:ln w="15875">
          <a:solidFill>
            <a:schemeClr val="accent2">
              <a:lumMod val="50000"/>
            </a:schemeClr>
          </a:solidFill>
          <a:headEnd type="stealth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39</xdr:row>
      <xdr:rowOff>53340</xdr:rowOff>
    </xdr:from>
    <xdr:ext cx="195566" cy="762000"/>
    <xdr:sp macro="" textlink="$X$10">
      <xdr:nvSpPr>
        <xdr:cNvPr id="43" name="TextBox 42"/>
        <xdr:cNvSpPr txBox="1"/>
      </xdr:nvSpPr>
      <xdr:spPr>
        <a:xfrm rot="16200000">
          <a:off x="2559043" y="5982977"/>
          <a:ext cx="76200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1E8C0449-50B4-4F83-A0AB-3C6720C74CBB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1091 lbs</a:t>
          </a:fld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0</xdr:colOff>
      <xdr:row>39</xdr:row>
      <xdr:rowOff>60960</xdr:rowOff>
    </xdr:from>
    <xdr:ext cx="195566" cy="762000"/>
    <xdr:sp macro="" textlink="$X$15">
      <xdr:nvSpPr>
        <xdr:cNvPr id="44" name="TextBox 43"/>
        <xdr:cNvSpPr txBox="1"/>
      </xdr:nvSpPr>
      <xdr:spPr>
        <a:xfrm rot="16200000">
          <a:off x="5256523" y="5990597"/>
          <a:ext cx="76200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0C4A396-C158-4F25-99E9-65FDCF46D39D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3255 lbs</a:t>
          </a:fld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39</xdr:row>
      <xdr:rowOff>60960</xdr:rowOff>
    </xdr:from>
    <xdr:ext cx="195566" cy="762000"/>
    <xdr:sp macro="" textlink="$X$16">
      <xdr:nvSpPr>
        <xdr:cNvPr id="45" name="TextBox 44"/>
        <xdr:cNvSpPr txBox="1"/>
      </xdr:nvSpPr>
      <xdr:spPr>
        <a:xfrm rot="16200000">
          <a:off x="6643363" y="5990597"/>
          <a:ext cx="76200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BC8A8A1F-330C-4DF0-82F9-D023D27B231C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3732 lbs</a:t>
          </a:fld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0</xdr:colOff>
      <xdr:row>6</xdr:row>
      <xdr:rowOff>99060</xdr:rowOff>
    </xdr:from>
    <xdr:ext cx="195566" cy="883920"/>
    <xdr:sp macro="" textlink="$X$4">
      <xdr:nvSpPr>
        <xdr:cNvPr id="46" name="TextBox 45"/>
        <xdr:cNvSpPr txBox="1"/>
      </xdr:nvSpPr>
      <xdr:spPr>
        <a:xfrm rot="16200000">
          <a:off x="1341748" y="1319537"/>
          <a:ext cx="88392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9F6BFB59-F39C-4083-A6B4-230240507E03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477 lbs</a:t>
          </a:fld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0</xdr:colOff>
      <xdr:row>7</xdr:row>
      <xdr:rowOff>68580</xdr:rowOff>
    </xdr:from>
    <xdr:ext cx="195566" cy="762000"/>
    <xdr:sp macro="" textlink="$X$4">
      <xdr:nvSpPr>
        <xdr:cNvPr id="47" name="TextBox 46"/>
        <xdr:cNvSpPr txBox="1"/>
      </xdr:nvSpPr>
      <xdr:spPr>
        <a:xfrm rot="16200000">
          <a:off x="6260458" y="1370972"/>
          <a:ext cx="76200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A3BC52B0-0ADC-4279-8BF6-3FDD97EDF5F3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477 lbs</a:t>
          </a:fld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13</xdr:col>
      <xdr:colOff>0</xdr:colOff>
      <xdr:row>9</xdr:row>
      <xdr:rowOff>0</xdr:rowOff>
    </xdr:from>
    <xdr:to>
      <xdr:col>13</xdr:col>
      <xdr:colOff>0</xdr:colOff>
      <xdr:row>13</xdr:row>
      <xdr:rowOff>0</xdr:rowOff>
    </xdr:to>
    <xdr:cxnSp macro="">
      <xdr:nvCxnSpPr>
        <xdr:cNvPr id="48" name="Straight Connector 47"/>
        <xdr:cNvCxnSpPr/>
      </xdr:nvCxnSpPr>
      <xdr:spPr>
        <a:xfrm>
          <a:off x="6543675" y="1304925"/>
          <a:ext cx="0" cy="571500"/>
        </a:xfrm>
        <a:prstGeom prst="line">
          <a:avLst/>
        </a:prstGeom>
        <a:ln w="15875">
          <a:solidFill>
            <a:schemeClr val="accent2">
              <a:lumMod val="75000"/>
            </a:schemeClr>
          </a:solidFill>
          <a:headEnd type="stealth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"/>
  <sheetViews>
    <sheetView tabSelected="1" zoomScale="125" zoomScaleNormal="125" workbookViewId="0"/>
  </sheetViews>
  <sheetFormatPr defaultRowHeight="15" x14ac:dyDescent="0.25"/>
  <cols>
    <col min="1" max="1" width="2.85546875" customWidth="1"/>
    <col min="2" max="2" width="3.28515625" customWidth="1"/>
    <col min="3" max="3" width="7.28515625" customWidth="1"/>
    <col min="4" max="4" width="4.28515625" customWidth="1"/>
    <col min="5" max="5" width="4.7109375" customWidth="1"/>
    <col min="6" max="6" width="12.7109375" customWidth="1"/>
    <col min="7" max="7" width="4.7109375" customWidth="1"/>
    <col min="8" max="8" width="8.85546875" customWidth="1"/>
    <col min="9" max="9" width="10" customWidth="1"/>
    <col min="10" max="10" width="10.85546875" customWidth="1"/>
    <col min="11" max="11" width="10.5703125" customWidth="1"/>
    <col min="12" max="12" width="4.7109375" customWidth="1"/>
    <col min="13" max="13" width="12.7109375" customWidth="1"/>
    <col min="14" max="14" width="4.7109375" customWidth="1"/>
    <col min="15" max="15" width="3.5703125" customWidth="1"/>
    <col min="16" max="16" width="5.28515625" customWidth="1"/>
    <col min="17" max="17" width="6" customWidth="1"/>
    <col min="18" max="18" width="7" customWidth="1"/>
  </cols>
  <sheetData>
    <row r="1" spans="1:29" ht="11.1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"/>
      <c r="AC1" s="1"/>
    </row>
    <row r="2" spans="1:29" ht="11.1" customHeight="1" x14ac:dyDescent="0.25">
      <c r="A2" s="14"/>
      <c r="B2" s="15" t="s">
        <v>0</v>
      </c>
      <c r="C2" s="15"/>
      <c r="D2" s="14"/>
      <c r="E2" s="14"/>
      <c r="F2" s="14"/>
      <c r="G2" s="16" t="s">
        <v>1</v>
      </c>
      <c r="H2" s="14"/>
      <c r="I2" s="2" t="s">
        <v>2</v>
      </c>
      <c r="J2" s="17">
        <v>800</v>
      </c>
      <c r="K2" s="18" t="s">
        <v>66</v>
      </c>
      <c r="L2" s="2" t="s">
        <v>4</v>
      </c>
      <c r="M2" s="17">
        <v>1681</v>
      </c>
      <c r="N2" s="18" t="s">
        <v>67</v>
      </c>
      <c r="O2" s="18"/>
      <c r="P2" s="18"/>
      <c r="Q2" s="19" t="s">
        <v>5</v>
      </c>
      <c r="R2" s="20" t="s">
        <v>6</v>
      </c>
      <c r="S2" s="14"/>
      <c r="T2" s="14"/>
      <c r="U2" s="14"/>
      <c r="V2" s="14"/>
      <c r="W2" s="14"/>
      <c r="X2" s="14"/>
      <c r="Y2" s="14"/>
      <c r="Z2" s="14"/>
      <c r="AA2" s="14"/>
      <c r="AB2" s="1"/>
      <c r="AC2" s="1"/>
    </row>
    <row r="3" spans="1:29" ht="11.1" customHeight="1" x14ac:dyDescent="0.25">
      <c r="A3" s="14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8" t="s">
        <v>7</v>
      </c>
      <c r="U3" s="18"/>
      <c r="V3" s="21">
        <f>C7/K4</f>
        <v>119.36094674556213</v>
      </c>
      <c r="W3" s="18" t="s">
        <v>8</v>
      </c>
      <c r="X3" s="22" t="str">
        <f>CONCATENATE(ROUND(V3,1)," plf")</f>
        <v>119.4 plf</v>
      </c>
      <c r="Y3" s="18"/>
      <c r="Z3" s="18"/>
      <c r="AA3" s="14"/>
      <c r="AB3" s="1"/>
      <c r="AC3" s="1"/>
    </row>
    <row r="4" spans="1:29" ht="11.1" customHeight="1" x14ac:dyDescent="0.25">
      <c r="A4" s="14"/>
      <c r="B4" s="18" t="str">
        <f>IF(M2&gt;J2,"Wind Load Governs","Seismic Load Governs")</f>
        <v>Wind Load Governs</v>
      </c>
      <c r="C4" s="18"/>
      <c r="D4" s="18"/>
      <c r="E4" s="18"/>
      <c r="F4" s="18"/>
      <c r="G4" s="18"/>
      <c r="H4" s="18"/>
      <c r="I4" s="18"/>
      <c r="J4" s="2" t="s">
        <v>9</v>
      </c>
      <c r="K4" s="23">
        <f>F40+I40+M40</f>
        <v>14.083333333333334</v>
      </c>
      <c r="L4" s="18" t="s">
        <v>10</v>
      </c>
      <c r="M4" s="18"/>
      <c r="N4" s="18"/>
      <c r="O4" s="18"/>
      <c r="P4" s="18"/>
      <c r="Q4" s="18"/>
      <c r="R4" s="18"/>
      <c r="S4" s="14"/>
      <c r="T4" s="18" t="s">
        <v>11</v>
      </c>
      <c r="U4" s="18"/>
      <c r="V4" s="24">
        <f>V3*P12</f>
        <v>477.44378698224853</v>
      </c>
      <c r="W4" s="18" t="s">
        <v>3</v>
      </c>
      <c r="X4" s="22" t="str">
        <f>CONCATENATE(ROUND(V4,0)," lbs")</f>
        <v>477 lbs</v>
      </c>
      <c r="Y4" s="18"/>
      <c r="Z4" s="18"/>
      <c r="AA4" s="14"/>
      <c r="AB4" s="1"/>
      <c r="AC4" s="1"/>
    </row>
    <row r="5" spans="1:29" ht="11.1" customHeight="1" x14ac:dyDescent="0.25">
      <c r="A5" s="14"/>
      <c r="B5" s="18"/>
      <c r="C5" s="18"/>
      <c r="D5" s="18"/>
      <c r="E5" s="18"/>
      <c r="F5" s="18"/>
      <c r="G5" s="18"/>
      <c r="H5" s="18"/>
      <c r="I5" s="18"/>
      <c r="J5" s="2" t="s">
        <v>12</v>
      </c>
      <c r="K5" s="23">
        <f>MIN(V43:V44)+V47</f>
        <v>0.43756617217113031</v>
      </c>
      <c r="L5" s="18" t="s">
        <v>13</v>
      </c>
      <c r="M5" s="18"/>
      <c r="N5" s="18"/>
      <c r="O5" s="18"/>
      <c r="P5" s="18"/>
      <c r="Q5" s="18"/>
      <c r="R5" s="18"/>
      <c r="S5" s="14"/>
      <c r="T5" s="18"/>
      <c r="U5" s="18"/>
      <c r="V5" s="25"/>
      <c r="W5" s="18"/>
      <c r="X5" s="18"/>
      <c r="Y5" s="18"/>
      <c r="Z5" s="18"/>
      <c r="AA5" s="14"/>
      <c r="AB5" s="1"/>
      <c r="AC5" s="1"/>
    </row>
    <row r="6" spans="1:29" ht="11.1" customHeight="1" x14ac:dyDescent="0.25">
      <c r="A6" s="14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8"/>
      <c r="Z6" s="18"/>
      <c r="AA6" s="14"/>
      <c r="AB6" s="1"/>
      <c r="AC6" s="1"/>
    </row>
    <row r="7" spans="1:29" ht="11.1" customHeight="1" x14ac:dyDescent="0.25">
      <c r="A7" s="14"/>
      <c r="B7" s="14"/>
      <c r="C7" s="26">
        <f>MAX(J2,M2)</f>
        <v>1681</v>
      </c>
      <c r="D7" s="18" t="s">
        <v>3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4"/>
      <c r="T7" s="18" t="s">
        <v>14</v>
      </c>
      <c r="U7" s="18"/>
      <c r="V7" s="21">
        <f>V8/F40</f>
        <v>155.89923723950264</v>
      </c>
      <c r="W7" s="18" t="s">
        <v>8</v>
      </c>
      <c r="X7" s="22" t="str">
        <f>CONCATENATE(ROUND(V7,1)," plf")</f>
        <v>155.9 plf</v>
      </c>
      <c r="Y7" s="18"/>
      <c r="Z7" s="18"/>
      <c r="AA7" s="14"/>
      <c r="AB7" s="1"/>
      <c r="AC7" s="1"/>
    </row>
    <row r="8" spans="1:29" ht="11.1" customHeight="1" x14ac:dyDescent="0.25">
      <c r="A8" s="14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4"/>
      <c r="T8" s="18" t="s">
        <v>15</v>
      </c>
      <c r="U8" s="18"/>
      <c r="V8" s="27">
        <f>U36</f>
        <v>344.27748223723501</v>
      </c>
      <c r="W8" s="18" t="s">
        <v>3</v>
      </c>
      <c r="X8" s="24" t="str">
        <f>CONCATENATE(ROUND(V8,0)," lbs")</f>
        <v>344 lbs</v>
      </c>
      <c r="Y8" s="18"/>
      <c r="Z8" s="18"/>
      <c r="AA8" s="14"/>
      <c r="AB8" s="1"/>
      <c r="AC8" s="1"/>
    </row>
    <row r="9" spans="1:29" ht="11.1" customHeight="1" x14ac:dyDescent="0.25">
      <c r="A9" s="14"/>
      <c r="B9" s="18"/>
      <c r="C9" s="18"/>
      <c r="D9" s="18"/>
      <c r="E9" s="28"/>
      <c r="F9" s="28"/>
      <c r="G9" s="28"/>
      <c r="H9" s="28"/>
      <c r="I9" s="28"/>
      <c r="J9" s="28"/>
      <c r="K9" s="28"/>
      <c r="L9" s="28"/>
      <c r="M9" s="28"/>
      <c r="N9" s="28"/>
      <c r="O9" s="18"/>
      <c r="P9" s="18"/>
      <c r="Q9" s="18"/>
      <c r="R9" s="18"/>
      <c r="S9" s="14"/>
      <c r="T9" s="18" t="s">
        <v>16</v>
      </c>
      <c r="U9" s="18"/>
      <c r="V9" s="27">
        <f>V7*P26+V4</f>
        <v>1568.7384476587672</v>
      </c>
      <c r="W9" s="18" t="s">
        <v>3</v>
      </c>
      <c r="X9" s="24" t="str">
        <f>CONCATENATE(ROUND(V9,1)," lbs")</f>
        <v>1568.7 lbs</v>
      </c>
      <c r="Y9" s="18"/>
      <c r="Z9" s="18"/>
      <c r="AA9" s="14"/>
      <c r="AB9" s="1"/>
      <c r="AC9" s="1"/>
    </row>
    <row r="10" spans="1:29" ht="11.1" customHeight="1" x14ac:dyDescent="0.25">
      <c r="A10" s="14"/>
      <c r="B10" s="18"/>
      <c r="C10" s="18"/>
      <c r="D10" s="18"/>
      <c r="E10" s="28"/>
      <c r="F10" s="28"/>
      <c r="G10" s="28"/>
      <c r="H10" s="28"/>
      <c r="I10" s="47">
        <f>V3</f>
        <v>119.36094674556213</v>
      </c>
      <c r="J10" s="28" t="s">
        <v>8</v>
      </c>
      <c r="K10" s="28"/>
      <c r="L10" s="28"/>
      <c r="M10" s="28"/>
      <c r="N10" s="28"/>
      <c r="O10" s="18"/>
      <c r="P10" s="18"/>
      <c r="Q10" s="18"/>
      <c r="R10" s="18"/>
      <c r="S10" s="14"/>
      <c r="T10" s="18" t="s">
        <v>17</v>
      </c>
      <c r="U10" s="18"/>
      <c r="V10" s="27">
        <f>V7*P26</f>
        <v>1091.2946606765186</v>
      </c>
      <c r="W10" s="18" t="s">
        <v>3</v>
      </c>
      <c r="X10" s="24" t="str">
        <f>CONCATENATE(ROUND(V10,0)," lbs")</f>
        <v>1091 lbs</v>
      </c>
      <c r="Y10" s="18"/>
      <c r="Z10" s="18"/>
      <c r="AA10" s="14"/>
      <c r="AB10" s="1"/>
      <c r="AC10" s="1"/>
    </row>
    <row r="11" spans="1:29" ht="11.1" customHeight="1" x14ac:dyDescent="0.25">
      <c r="A11" s="14"/>
      <c r="B11" s="18"/>
      <c r="C11" s="18"/>
      <c r="D11" s="1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18"/>
      <c r="P11" s="18"/>
      <c r="Q11" s="18"/>
      <c r="R11" s="18"/>
      <c r="S11" s="14"/>
      <c r="T11" s="18"/>
      <c r="U11" s="18"/>
      <c r="V11" s="25"/>
      <c r="W11" s="18"/>
      <c r="X11" s="18"/>
      <c r="Y11" s="18"/>
      <c r="Z11" s="18"/>
      <c r="AA11" s="14"/>
      <c r="AB11" s="1"/>
      <c r="AC11" s="1"/>
    </row>
    <row r="12" spans="1:29" ht="11.1" customHeight="1" x14ac:dyDescent="0.25">
      <c r="A12" s="14"/>
      <c r="B12" s="18"/>
      <c r="C12" s="18"/>
      <c r="D12" s="1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8"/>
      <c r="P12" s="13">
        <v>4</v>
      </c>
      <c r="Q12" s="18" t="s">
        <v>10</v>
      </c>
      <c r="R12" s="18"/>
      <c r="S12" s="14"/>
      <c r="T12" s="18"/>
      <c r="U12" s="18"/>
      <c r="V12" s="25"/>
      <c r="W12" s="18"/>
      <c r="X12" s="18"/>
      <c r="Y12" s="18"/>
      <c r="Z12" s="18"/>
      <c r="AA12" s="14"/>
      <c r="AB12" s="1"/>
      <c r="AC12" s="1"/>
    </row>
    <row r="13" spans="1:29" ht="11.1" customHeight="1" x14ac:dyDescent="0.25">
      <c r="A13" s="14"/>
      <c r="B13" s="18"/>
      <c r="C13" s="18"/>
      <c r="D13" s="1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18"/>
      <c r="P13" s="14"/>
      <c r="Q13" s="14"/>
      <c r="R13" s="18"/>
      <c r="S13" s="14"/>
      <c r="T13" s="18" t="s">
        <v>18</v>
      </c>
      <c r="U13" s="18"/>
      <c r="V13" s="21">
        <f>V14/M40</f>
        <v>464.94696270009217</v>
      </c>
      <c r="W13" s="18" t="s">
        <v>8</v>
      </c>
      <c r="X13" s="22" t="str">
        <f>CONCATENATE(ROUND(V13,1)," plf")</f>
        <v>464.9 plf</v>
      </c>
      <c r="Y13" s="18"/>
      <c r="Z13" s="18"/>
      <c r="AA13" s="14"/>
      <c r="AB13" s="1"/>
      <c r="AC13" s="1"/>
    </row>
    <row r="14" spans="1:29" ht="11.1" customHeight="1" x14ac:dyDescent="0.25">
      <c r="A14" s="14"/>
      <c r="B14" s="18"/>
      <c r="C14" s="18"/>
      <c r="D14" s="1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8"/>
      <c r="P14" s="18"/>
      <c r="Q14" s="18"/>
      <c r="R14" s="18"/>
      <c r="S14" s="14"/>
      <c r="T14" s="18" t="s">
        <v>19</v>
      </c>
      <c r="U14" s="18"/>
      <c r="V14" s="27">
        <f>U37</f>
        <v>1336.7225177627649</v>
      </c>
      <c r="W14" s="18" t="s">
        <v>3</v>
      </c>
      <c r="X14" s="22" t="str">
        <f>CONCATENATE(ROUND(V14,0)," lbs")</f>
        <v>1337 lbs</v>
      </c>
      <c r="Y14" s="18"/>
      <c r="Z14" s="18"/>
      <c r="AA14" s="14"/>
      <c r="AB14" s="1"/>
      <c r="AC14" s="1"/>
    </row>
    <row r="15" spans="1:29" ht="11.1" customHeight="1" x14ac:dyDescent="0.25">
      <c r="A15" s="14"/>
      <c r="B15" s="18"/>
      <c r="C15" s="18"/>
      <c r="D15" s="18"/>
      <c r="E15" s="28"/>
      <c r="F15" s="29">
        <f>V8</f>
        <v>344.27748223723501</v>
      </c>
      <c r="G15" s="28" t="s">
        <v>3</v>
      </c>
      <c r="H15" s="28"/>
      <c r="I15" s="49" t="s">
        <v>20</v>
      </c>
      <c r="J15" s="49"/>
      <c r="K15" s="28"/>
      <c r="L15" s="28"/>
      <c r="M15" s="48">
        <f>V14</f>
        <v>1336.7225177627649</v>
      </c>
      <c r="N15" s="28" t="s">
        <v>3</v>
      </c>
      <c r="O15" s="18"/>
      <c r="P15" s="18"/>
      <c r="Q15" s="18"/>
      <c r="R15" s="18"/>
      <c r="S15" s="14"/>
      <c r="T15" s="18" t="s">
        <v>21</v>
      </c>
      <c r="U15" s="18"/>
      <c r="V15" s="27">
        <f>V13*P26</f>
        <v>3254.6287389006452</v>
      </c>
      <c r="W15" s="18" t="s">
        <v>3</v>
      </c>
      <c r="X15" s="22" t="str">
        <f>CONCATENATE(ROUND(V15,0)," lbs")</f>
        <v>3255 lbs</v>
      </c>
      <c r="Y15" s="18"/>
      <c r="Z15" s="18"/>
      <c r="AA15" s="14"/>
      <c r="AB15" s="1"/>
      <c r="AC15" s="1"/>
    </row>
    <row r="16" spans="1:29" ht="11.1" customHeight="1" x14ac:dyDescent="0.25">
      <c r="A16" s="14"/>
      <c r="B16" s="18"/>
      <c r="C16" s="18"/>
      <c r="D16" s="1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8"/>
      <c r="P16" s="18"/>
      <c r="Q16" s="18"/>
      <c r="R16" s="18"/>
      <c r="S16" s="14"/>
      <c r="T16" s="18" t="s">
        <v>22</v>
      </c>
      <c r="U16" s="18"/>
      <c r="V16" s="27">
        <f>V13*P26+V4</f>
        <v>3732.0725258828938</v>
      </c>
      <c r="W16" s="18" t="s">
        <v>3</v>
      </c>
      <c r="X16" s="22" t="str">
        <f>CONCATENATE(ROUND(V16,0)," lbs")</f>
        <v>3732 lbs</v>
      </c>
      <c r="Y16" s="18"/>
      <c r="Z16" s="18"/>
      <c r="AA16" s="14"/>
      <c r="AB16" s="1"/>
      <c r="AC16" s="1"/>
    </row>
    <row r="17" spans="1:29" ht="11.1" customHeight="1" x14ac:dyDescent="0.25">
      <c r="A17" s="14"/>
      <c r="B17" s="18"/>
      <c r="C17" s="18"/>
      <c r="D17" s="1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18"/>
      <c r="P17" s="18"/>
      <c r="Q17" s="18"/>
      <c r="R17" s="18"/>
      <c r="S17" s="14"/>
      <c r="T17" s="18"/>
      <c r="U17" s="18"/>
      <c r="V17" s="25"/>
      <c r="W17" s="18"/>
      <c r="X17" s="18"/>
      <c r="Y17" s="18"/>
      <c r="Z17" s="18"/>
      <c r="AA17" s="14"/>
      <c r="AB17" s="1"/>
      <c r="AC17" s="1"/>
    </row>
    <row r="18" spans="1:29" ht="11.1" customHeight="1" x14ac:dyDescent="0.25">
      <c r="A18" s="14"/>
      <c r="B18" s="18"/>
      <c r="C18" s="18"/>
      <c r="D18" s="18"/>
      <c r="E18" s="28"/>
      <c r="F18" s="28"/>
      <c r="G18" s="28"/>
      <c r="H18" s="18"/>
      <c r="I18" s="18"/>
      <c r="J18" s="18"/>
      <c r="K18" s="18"/>
      <c r="L18" s="28"/>
      <c r="M18" s="28"/>
      <c r="N18" s="28"/>
      <c r="O18" s="18"/>
      <c r="P18" s="18"/>
      <c r="Q18" s="18"/>
      <c r="R18" s="18"/>
      <c r="S18" s="14"/>
      <c r="T18" s="18"/>
      <c r="U18" s="18"/>
      <c r="V18" s="25"/>
      <c r="W18" s="18"/>
      <c r="X18" s="18"/>
      <c r="Y18" s="18"/>
      <c r="Z18" s="18"/>
      <c r="AA18" s="14"/>
      <c r="AB18" s="1"/>
      <c r="AC18" s="1"/>
    </row>
    <row r="19" spans="1:29" ht="11.1" customHeight="1" x14ac:dyDescent="0.25">
      <c r="A19" s="14"/>
      <c r="B19" s="18"/>
      <c r="C19" s="18"/>
      <c r="D19" s="18"/>
      <c r="E19" s="28"/>
      <c r="F19" s="47">
        <f>V7</f>
        <v>155.89923723950264</v>
      </c>
      <c r="G19" s="28" t="s">
        <v>8</v>
      </c>
      <c r="H19" s="18"/>
      <c r="I19" s="18"/>
      <c r="J19" s="18"/>
      <c r="K19" s="18"/>
      <c r="L19" s="28"/>
      <c r="M19" s="47">
        <f>V13</f>
        <v>464.94696270009217</v>
      </c>
      <c r="N19" s="28" t="s">
        <v>8</v>
      </c>
      <c r="O19" s="18"/>
      <c r="P19" s="18"/>
      <c r="Q19" s="18"/>
      <c r="R19" s="18"/>
      <c r="S19" s="14"/>
      <c r="T19" s="30" t="s">
        <v>23</v>
      </c>
      <c r="U19" s="18"/>
      <c r="V19" s="25"/>
      <c r="W19" s="18"/>
      <c r="X19" s="18"/>
      <c r="Y19" s="18"/>
      <c r="Z19" s="18"/>
      <c r="AA19" s="14"/>
      <c r="AB19" s="1"/>
      <c r="AC19" s="1"/>
    </row>
    <row r="20" spans="1:29" ht="11.1" customHeight="1" x14ac:dyDescent="0.25">
      <c r="A20" s="14"/>
      <c r="B20" s="18"/>
      <c r="C20" s="18"/>
      <c r="D20" s="18"/>
      <c r="E20" s="28"/>
      <c r="F20" s="28"/>
      <c r="G20" s="28"/>
      <c r="H20" s="18"/>
      <c r="I20" s="18"/>
      <c r="J20" s="18"/>
      <c r="K20" s="18"/>
      <c r="L20" s="28"/>
      <c r="M20" s="28"/>
      <c r="N20" s="28"/>
      <c r="O20" s="18"/>
      <c r="P20" s="18"/>
      <c r="Q20" s="18"/>
      <c r="R20" s="18"/>
      <c r="S20" s="14"/>
      <c r="T20" s="2" t="s">
        <v>24</v>
      </c>
      <c r="U20" s="31">
        <v>1600000</v>
      </c>
      <c r="V20" s="25" t="s">
        <v>25</v>
      </c>
      <c r="W20" s="18"/>
      <c r="X20" s="18"/>
      <c r="Y20" s="14"/>
      <c r="Z20" s="14"/>
      <c r="AA20" s="14"/>
      <c r="AB20" s="1"/>
      <c r="AC20" s="1"/>
    </row>
    <row r="21" spans="1:29" ht="11.1" customHeight="1" x14ac:dyDescent="0.25">
      <c r="A21" s="14"/>
      <c r="B21" s="18"/>
      <c r="C21" s="18"/>
      <c r="D21" s="18"/>
      <c r="E21" s="28"/>
      <c r="F21" s="28"/>
      <c r="G21" s="28"/>
      <c r="H21" s="18"/>
      <c r="I21" s="18"/>
      <c r="J21" s="18"/>
      <c r="K21" s="18"/>
      <c r="L21" s="28"/>
      <c r="M21" s="28"/>
      <c r="N21" s="28"/>
      <c r="O21" s="18"/>
      <c r="P21" s="18"/>
      <c r="Q21" s="18"/>
      <c r="R21" s="18"/>
      <c r="S21" s="14"/>
      <c r="T21" s="2" t="s">
        <v>26</v>
      </c>
      <c r="U21" s="13">
        <v>16.5</v>
      </c>
      <c r="V21" s="25" t="s">
        <v>27</v>
      </c>
      <c r="W21" s="18"/>
      <c r="X21" s="18"/>
      <c r="Y21" s="14"/>
      <c r="Z21" s="14"/>
      <c r="AA21" s="14"/>
      <c r="AB21" s="1"/>
      <c r="AC21" s="1"/>
    </row>
    <row r="22" spans="1:29" ht="11.1" customHeight="1" x14ac:dyDescent="0.25">
      <c r="A22" s="14"/>
      <c r="B22" s="18"/>
      <c r="C22" s="18"/>
      <c r="D22" s="18"/>
      <c r="E22" s="28"/>
      <c r="F22" s="28"/>
      <c r="G22" s="28"/>
      <c r="H22" s="18"/>
      <c r="I22" s="18"/>
      <c r="J22" s="18"/>
      <c r="K22" s="18"/>
      <c r="L22" s="28"/>
      <c r="M22" s="28"/>
      <c r="N22" s="28"/>
      <c r="O22" s="18"/>
      <c r="P22" s="18"/>
      <c r="Q22" s="32">
        <f>P12+P26</f>
        <v>11</v>
      </c>
      <c r="R22" s="18" t="s">
        <v>10</v>
      </c>
      <c r="S22" s="14"/>
      <c r="T22" s="2" t="s">
        <v>28</v>
      </c>
      <c r="U22" s="31">
        <v>28</v>
      </c>
      <c r="V22" s="25" t="s">
        <v>29</v>
      </c>
      <c r="W22" s="18"/>
      <c r="X22" s="18"/>
      <c r="Y22" s="14"/>
      <c r="Z22" s="14"/>
      <c r="AA22" s="14"/>
      <c r="AB22" s="1"/>
      <c r="AC22" s="1"/>
    </row>
    <row r="23" spans="1:29" ht="11.1" customHeight="1" x14ac:dyDescent="0.25">
      <c r="A23" s="14"/>
      <c r="B23" s="18"/>
      <c r="C23" s="18"/>
      <c r="D23" s="18"/>
      <c r="E23" s="28"/>
      <c r="F23" s="28"/>
      <c r="G23" s="28"/>
      <c r="H23" s="18"/>
      <c r="I23" s="18"/>
      <c r="J23" s="18"/>
      <c r="K23" s="18"/>
      <c r="L23" s="28"/>
      <c r="M23" s="28"/>
      <c r="N23" s="28"/>
      <c r="O23" s="18"/>
      <c r="P23" s="18"/>
      <c r="Q23" s="18"/>
      <c r="R23" s="18"/>
      <c r="S23" s="14"/>
      <c r="T23" s="2" t="s">
        <v>30</v>
      </c>
      <c r="U23" s="33">
        <v>0.11799999999999999</v>
      </c>
      <c r="V23" s="25" t="s">
        <v>31</v>
      </c>
      <c r="W23" s="18"/>
      <c r="X23" s="18"/>
      <c r="Y23" s="14"/>
      <c r="Z23" s="14"/>
      <c r="AA23" s="14"/>
      <c r="AB23" s="1"/>
      <c r="AC23" s="1"/>
    </row>
    <row r="24" spans="1:29" ht="11.1" customHeight="1" x14ac:dyDescent="0.25">
      <c r="A24" s="14"/>
      <c r="B24" s="18"/>
      <c r="C24" s="18"/>
      <c r="D24" s="18"/>
      <c r="E24" s="28"/>
      <c r="F24" s="28"/>
      <c r="G24" s="28"/>
      <c r="H24" s="18"/>
      <c r="I24" s="50" t="s">
        <v>32</v>
      </c>
      <c r="J24" s="50"/>
      <c r="K24" s="18"/>
      <c r="L24" s="28"/>
      <c r="M24" s="28"/>
      <c r="N24" s="28"/>
      <c r="O24" s="18"/>
      <c r="P24" s="18"/>
      <c r="Q24" s="18"/>
      <c r="R24" s="18"/>
      <c r="S24" s="14"/>
      <c r="T24" s="34" t="s">
        <v>33</v>
      </c>
      <c r="U24" s="35" t="s">
        <v>34</v>
      </c>
      <c r="V24" s="25"/>
      <c r="W24" s="18"/>
      <c r="X24" s="18"/>
      <c r="Y24" s="14"/>
      <c r="Z24" s="14"/>
      <c r="AA24" s="14"/>
      <c r="AB24" s="1"/>
      <c r="AC24" s="1"/>
    </row>
    <row r="25" spans="1:29" ht="11.1" customHeight="1" x14ac:dyDescent="0.25">
      <c r="A25" s="14"/>
      <c r="B25" s="18"/>
      <c r="C25" s="18"/>
      <c r="D25" s="18"/>
      <c r="E25" s="28"/>
      <c r="F25" s="28"/>
      <c r="G25" s="28"/>
      <c r="H25" s="18"/>
      <c r="I25" s="18"/>
      <c r="J25" s="18"/>
      <c r="K25" s="18"/>
      <c r="L25" s="28"/>
      <c r="M25" s="28"/>
      <c r="N25" s="28"/>
      <c r="O25" s="18"/>
      <c r="P25" s="18"/>
      <c r="Q25" s="18"/>
      <c r="R25" s="18"/>
      <c r="S25" s="14"/>
      <c r="T25" s="14"/>
      <c r="U25" s="14"/>
      <c r="V25" s="14"/>
      <c r="W25" s="14"/>
      <c r="X25" s="14"/>
      <c r="Y25" s="14"/>
      <c r="Z25" s="14"/>
      <c r="AA25" s="14"/>
      <c r="AB25" s="1"/>
      <c r="AC25" s="1"/>
    </row>
    <row r="26" spans="1:29" ht="11.1" customHeight="1" x14ac:dyDescent="0.25">
      <c r="A26" s="14"/>
      <c r="B26" s="18"/>
      <c r="C26" s="18"/>
      <c r="D26" s="18"/>
      <c r="E26" s="28"/>
      <c r="F26" s="44" t="s">
        <v>35</v>
      </c>
      <c r="G26" s="28"/>
      <c r="H26" s="18"/>
      <c r="I26" s="18"/>
      <c r="J26" s="18"/>
      <c r="K26" s="18"/>
      <c r="L26" s="28"/>
      <c r="M26" s="44" t="s">
        <v>36</v>
      </c>
      <c r="N26" s="28"/>
      <c r="O26" s="18"/>
      <c r="P26" s="13">
        <v>7</v>
      </c>
      <c r="Q26" s="18" t="s">
        <v>10</v>
      </c>
      <c r="R26" s="18"/>
      <c r="S26" s="14"/>
      <c r="T26" s="2" t="s">
        <v>37</v>
      </c>
      <c r="U26" s="18">
        <f>8/(U20*U21)</f>
        <v>3.0303030303030305E-7</v>
      </c>
      <c r="V26" s="25"/>
      <c r="W26" s="2" t="s">
        <v>38</v>
      </c>
      <c r="X26" s="36">
        <f>P26</f>
        <v>7</v>
      </c>
      <c r="Y26" s="18" t="s">
        <v>10</v>
      </c>
      <c r="Z26" s="18"/>
      <c r="AA26" s="14"/>
      <c r="AB26" s="1"/>
      <c r="AC26" s="1"/>
    </row>
    <row r="27" spans="1:29" ht="11.1" customHeight="1" x14ac:dyDescent="0.25">
      <c r="A27" s="14"/>
      <c r="B27" s="18"/>
      <c r="C27" s="18"/>
      <c r="D27" s="18"/>
      <c r="E27" s="28"/>
      <c r="F27" s="28"/>
      <c r="G27" s="28"/>
      <c r="H27" s="18"/>
      <c r="I27" s="18"/>
      <c r="J27" s="18"/>
      <c r="K27" s="18"/>
      <c r="L27" s="28"/>
      <c r="M27" s="28"/>
      <c r="N27" s="28"/>
      <c r="O27" s="18"/>
      <c r="P27" s="18"/>
      <c r="Q27" s="18"/>
      <c r="R27" s="18"/>
      <c r="S27" s="14"/>
      <c r="T27" s="2" t="s">
        <v>39</v>
      </c>
      <c r="U27" s="18">
        <f>1/(U22*1000)</f>
        <v>3.5714285714285717E-5</v>
      </c>
      <c r="V27" s="25"/>
      <c r="W27" s="2" t="s">
        <v>40</v>
      </c>
      <c r="X27" s="25">
        <f>F40</f>
        <v>2.2083333333333335</v>
      </c>
      <c r="Y27" s="18" t="s">
        <v>10</v>
      </c>
      <c r="Z27" s="18"/>
      <c r="AA27" s="14"/>
      <c r="AB27" s="1"/>
      <c r="AC27" s="1"/>
    </row>
    <row r="28" spans="1:29" ht="11.1" customHeight="1" x14ac:dyDescent="0.25">
      <c r="A28" s="14"/>
      <c r="B28" s="18"/>
      <c r="C28" s="18"/>
      <c r="D28" s="18"/>
      <c r="E28" s="28"/>
      <c r="F28" s="28"/>
      <c r="G28" s="28"/>
      <c r="H28" s="18"/>
      <c r="I28" s="18"/>
      <c r="J28" s="18"/>
      <c r="K28" s="18"/>
      <c r="L28" s="28"/>
      <c r="M28" s="28"/>
      <c r="N28" s="28"/>
      <c r="O28" s="18"/>
      <c r="P28" s="18"/>
      <c r="Q28" s="18"/>
      <c r="R28" s="18"/>
      <c r="S28" s="14"/>
      <c r="T28" s="2" t="s">
        <v>41</v>
      </c>
      <c r="U28" s="37">
        <f>U23</f>
        <v>0.11799999999999999</v>
      </c>
      <c r="V28" s="14"/>
      <c r="W28" s="2" t="s">
        <v>42</v>
      </c>
      <c r="X28" s="25">
        <f>M40</f>
        <v>2.875</v>
      </c>
      <c r="Y28" s="18" t="s">
        <v>10</v>
      </c>
      <c r="Z28" s="18"/>
      <c r="AA28" s="14"/>
      <c r="AB28" s="1"/>
      <c r="AC28" s="1"/>
    </row>
    <row r="29" spans="1:29" ht="11.1" customHeight="1" x14ac:dyDescent="0.25">
      <c r="A29" s="14"/>
      <c r="B29" s="18"/>
      <c r="C29" s="18"/>
      <c r="D29" s="18"/>
      <c r="E29" s="28"/>
      <c r="F29" s="28"/>
      <c r="G29" s="28"/>
      <c r="H29" s="18"/>
      <c r="I29" s="18"/>
      <c r="J29" s="18"/>
      <c r="K29" s="18"/>
      <c r="L29" s="28"/>
      <c r="M29" s="28"/>
      <c r="N29" s="28"/>
      <c r="O29" s="18"/>
      <c r="P29" s="18"/>
      <c r="Q29" s="18"/>
      <c r="R29" s="18"/>
      <c r="S29" s="14"/>
      <c r="T29" s="2"/>
      <c r="U29" s="38"/>
      <c r="V29" s="14"/>
      <c r="W29" s="14"/>
      <c r="X29" s="14"/>
      <c r="Y29" s="18"/>
      <c r="Z29" s="14"/>
      <c r="AA29" s="14"/>
      <c r="AB29" s="1"/>
      <c r="AC29" s="1"/>
    </row>
    <row r="30" spans="1:29" ht="11.1" customHeight="1" x14ac:dyDescent="0.25">
      <c r="A30" s="14"/>
      <c r="B30" s="18"/>
      <c r="C30" s="18"/>
      <c r="D30" s="18"/>
      <c r="E30" s="28"/>
      <c r="F30" s="28"/>
      <c r="G30" s="28"/>
      <c r="H30" s="18"/>
      <c r="I30" s="18"/>
      <c r="J30" s="18"/>
      <c r="K30" s="18"/>
      <c r="L30" s="28"/>
      <c r="M30" s="28"/>
      <c r="N30" s="28"/>
      <c r="O30" s="18"/>
      <c r="P30" s="18"/>
      <c r="Q30" s="18"/>
      <c r="R30" s="18"/>
      <c r="S30" s="14"/>
      <c r="T30" s="18" t="s">
        <v>43</v>
      </c>
      <c r="U30" s="18">
        <f>(U26*X26*X26)/X27</f>
        <v>6.7238421955403077E-6</v>
      </c>
      <c r="V30" s="25"/>
      <c r="W30" s="14"/>
      <c r="X30" s="14"/>
      <c r="Y30" s="18"/>
      <c r="Z30" s="18"/>
      <c r="AA30" s="14"/>
      <c r="AB30" s="1"/>
      <c r="AC30" s="1"/>
    </row>
    <row r="31" spans="1:29" ht="11.1" customHeight="1" x14ac:dyDescent="0.25">
      <c r="A31" s="14"/>
      <c r="B31" s="18"/>
      <c r="C31" s="18"/>
      <c r="D31" s="18"/>
      <c r="E31" s="28"/>
      <c r="F31" s="28"/>
      <c r="G31" s="28"/>
      <c r="H31" s="18"/>
      <c r="I31" s="18"/>
      <c r="J31" s="18"/>
      <c r="K31" s="18"/>
      <c r="L31" s="28"/>
      <c r="M31" s="28"/>
      <c r="N31" s="28"/>
      <c r="O31" s="18"/>
      <c r="P31" s="18"/>
      <c r="Q31" s="18"/>
      <c r="R31" s="18"/>
      <c r="S31" s="14"/>
      <c r="T31" s="18" t="s">
        <v>44</v>
      </c>
      <c r="U31" s="18">
        <f>(U26*X26*X26)/X28</f>
        <v>5.1646903820816861E-6</v>
      </c>
      <c r="V31" s="14"/>
      <c r="W31" s="14"/>
      <c r="X31" s="14"/>
      <c r="Y31" s="14"/>
      <c r="Z31" s="18"/>
      <c r="AA31" s="14"/>
      <c r="AB31" s="1"/>
      <c r="AC31" s="1"/>
    </row>
    <row r="32" spans="1:29" ht="11.1" customHeight="1" x14ac:dyDescent="0.25">
      <c r="A32" s="14"/>
      <c r="B32" s="18"/>
      <c r="C32" s="18"/>
      <c r="D32" s="18"/>
      <c r="E32" s="28"/>
      <c r="F32" s="28"/>
      <c r="G32" s="28"/>
      <c r="H32" s="18"/>
      <c r="I32" s="18"/>
      <c r="J32" s="18"/>
      <c r="K32" s="18"/>
      <c r="L32" s="28"/>
      <c r="M32" s="28"/>
      <c r="N32" s="28"/>
      <c r="O32" s="18"/>
      <c r="P32" s="18"/>
      <c r="Q32" s="18"/>
      <c r="R32" s="18"/>
      <c r="S32" s="14"/>
      <c r="T32" s="14"/>
      <c r="U32" s="14"/>
      <c r="V32" s="25"/>
      <c r="W32" s="18"/>
      <c r="X32" s="18"/>
      <c r="Y32" s="14"/>
      <c r="Z32" s="14"/>
      <c r="AA32" s="14"/>
      <c r="AB32" s="1"/>
      <c r="AC32" s="1"/>
    </row>
    <row r="33" spans="1:29" ht="11.1" customHeight="1" x14ac:dyDescent="0.25">
      <c r="A33" s="14"/>
      <c r="B33" s="18"/>
      <c r="C33" s="18"/>
      <c r="D33" s="18"/>
      <c r="E33" s="28"/>
      <c r="F33" s="47">
        <f>V7</f>
        <v>155.89923723950264</v>
      </c>
      <c r="G33" s="28" t="s">
        <v>8</v>
      </c>
      <c r="H33" s="18"/>
      <c r="I33" s="18"/>
      <c r="J33" s="18"/>
      <c r="K33" s="18"/>
      <c r="L33" s="28"/>
      <c r="M33" s="47">
        <f>V13</f>
        <v>464.94696270009217</v>
      </c>
      <c r="N33" s="28" t="s">
        <v>8</v>
      </c>
      <c r="O33" s="18"/>
      <c r="P33" s="18"/>
      <c r="Q33" s="18"/>
      <c r="R33" s="18"/>
      <c r="S33" s="14"/>
      <c r="T33" s="18" t="s">
        <v>45</v>
      </c>
      <c r="U33" s="18">
        <f>(C7/X28)*(U31+U27)+(U28/X28)-(U28/X27)</f>
        <v>1.151127558558597E-2</v>
      </c>
      <c r="V33" s="18"/>
      <c r="W33" s="18"/>
      <c r="X33" s="18"/>
      <c r="Y33" s="14"/>
      <c r="Z33" s="18"/>
      <c r="AA33" s="14"/>
      <c r="AB33" s="1"/>
      <c r="AC33" s="1"/>
    </row>
    <row r="34" spans="1:29" ht="11.1" customHeight="1" x14ac:dyDescent="0.25">
      <c r="A34" s="14"/>
      <c r="B34" s="18"/>
      <c r="C34" s="18"/>
      <c r="D34" s="18"/>
      <c r="E34" s="28"/>
      <c r="F34" s="28"/>
      <c r="G34" s="28"/>
      <c r="H34" s="18"/>
      <c r="I34" s="18"/>
      <c r="J34" s="18"/>
      <c r="K34" s="18"/>
      <c r="L34" s="28"/>
      <c r="M34" s="28"/>
      <c r="N34" s="28"/>
      <c r="O34" s="18"/>
      <c r="P34" s="18"/>
      <c r="Q34" s="18"/>
      <c r="R34" s="18"/>
      <c r="S34" s="14"/>
      <c r="T34" s="18" t="s">
        <v>46</v>
      </c>
      <c r="U34" s="18">
        <f>(U30+U27)/X27 + (U31+U27)/X28</f>
        <v>3.3436039762989122E-5</v>
      </c>
      <c r="V34" s="18"/>
      <c r="W34" s="18"/>
      <c r="X34" s="18"/>
      <c r="Y34" s="18"/>
      <c r="Z34" s="18"/>
      <c r="AA34" s="14"/>
      <c r="AB34" s="1"/>
      <c r="AC34" s="1"/>
    </row>
    <row r="35" spans="1:29" ht="11.1" customHeight="1" x14ac:dyDescent="0.25">
      <c r="A35" s="14"/>
      <c r="B35" s="18"/>
      <c r="C35" s="18"/>
      <c r="D35" s="18"/>
      <c r="E35" s="28"/>
      <c r="F35" s="28"/>
      <c r="G35" s="28"/>
      <c r="H35" s="18"/>
      <c r="I35" s="18"/>
      <c r="J35" s="18"/>
      <c r="K35" s="18"/>
      <c r="L35" s="28"/>
      <c r="M35" s="28"/>
      <c r="N35" s="28"/>
      <c r="O35" s="18"/>
      <c r="P35" s="18"/>
      <c r="Q35" s="18"/>
      <c r="R35" s="18"/>
      <c r="S35" s="14"/>
      <c r="T35" s="18"/>
      <c r="U35" s="18"/>
      <c r="V35" s="18"/>
      <c r="W35" s="18"/>
      <c r="X35" s="18"/>
      <c r="Y35" s="18"/>
      <c r="Z35" s="18"/>
      <c r="AA35" s="14"/>
      <c r="AB35" s="1"/>
      <c r="AC35" s="1"/>
    </row>
    <row r="36" spans="1:29" ht="11.1" customHeight="1" x14ac:dyDescent="0.25">
      <c r="A36" s="14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4"/>
      <c r="T36" s="18" t="s">
        <v>47</v>
      </c>
      <c r="U36" s="23">
        <f>IF(U33/U34&gt;C7,C7,IF(U33/U34&lt;0,0,U33/U34))</f>
        <v>344.27748223723501</v>
      </c>
      <c r="V36" s="18" t="s">
        <v>3</v>
      </c>
      <c r="W36" s="18"/>
      <c r="X36" s="18"/>
      <c r="Y36" s="18"/>
      <c r="Z36" s="18"/>
      <c r="AA36" s="14"/>
      <c r="AB36" s="1"/>
      <c r="AC36" s="1"/>
    </row>
    <row r="37" spans="1:29" ht="11.1" customHeight="1" x14ac:dyDescent="0.25">
      <c r="A37" s="14"/>
      <c r="B37" s="18"/>
      <c r="C37" s="18"/>
      <c r="D37" s="18"/>
      <c r="E37" s="18"/>
      <c r="F37" s="17">
        <v>2</v>
      </c>
      <c r="G37" s="18" t="s">
        <v>10</v>
      </c>
      <c r="H37" s="18"/>
      <c r="I37" s="17">
        <v>9</v>
      </c>
      <c r="J37" s="18" t="s">
        <v>10</v>
      </c>
      <c r="K37" s="18"/>
      <c r="L37" s="18"/>
      <c r="M37" s="17">
        <v>2</v>
      </c>
      <c r="N37" s="18" t="s">
        <v>10</v>
      </c>
      <c r="O37" s="18"/>
      <c r="P37" s="18"/>
      <c r="Q37" s="18"/>
      <c r="R37" s="18"/>
      <c r="S37" s="14"/>
      <c r="T37" s="18" t="s">
        <v>48</v>
      </c>
      <c r="U37" s="23">
        <f>C7-U36</f>
        <v>1336.7225177627649</v>
      </c>
      <c r="V37" s="18" t="s">
        <v>3</v>
      </c>
      <c r="W37" s="18"/>
      <c r="X37" s="18"/>
      <c r="Y37" s="18"/>
      <c r="Z37" s="18"/>
      <c r="AA37" s="14"/>
      <c r="AB37" s="1"/>
      <c r="AC37" s="1"/>
    </row>
    <row r="38" spans="1:29" ht="11.1" customHeight="1" x14ac:dyDescent="0.25">
      <c r="A38" s="14"/>
      <c r="B38" s="18"/>
      <c r="C38" s="18"/>
      <c r="D38" s="18"/>
      <c r="E38" s="18"/>
      <c r="F38" s="39">
        <v>2.5</v>
      </c>
      <c r="G38" s="18" t="s">
        <v>13</v>
      </c>
      <c r="H38" s="18"/>
      <c r="I38" s="39">
        <v>0</v>
      </c>
      <c r="J38" s="18" t="s">
        <v>13</v>
      </c>
      <c r="K38" s="18"/>
      <c r="L38" s="18"/>
      <c r="M38" s="39">
        <v>10.5</v>
      </c>
      <c r="N38" s="18" t="s">
        <v>13</v>
      </c>
      <c r="O38" s="18"/>
      <c r="P38" s="18"/>
      <c r="Q38" s="18"/>
      <c r="R38" s="18"/>
      <c r="S38" s="14"/>
      <c r="T38" s="14"/>
      <c r="U38" s="14"/>
      <c r="V38" s="14"/>
      <c r="W38" s="14"/>
      <c r="X38" s="14"/>
      <c r="Y38" s="18"/>
      <c r="Z38" s="18"/>
      <c r="AA38" s="14"/>
      <c r="AB38" s="1"/>
      <c r="AC38" s="1"/>
    </row>
    <row r="39" spans="1:29" ht="11.1" customHeight="1" x14ac:dyDescent="0.25">
      <c r="A39" s="14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4"/>
      <c r="T39" s="18" t="s">
        <v>49</v>
      </c>
      <c r="U39" s="21">
        <f>V7</f>
        <v>155.89923723950264</v>
      </c>
      <c r="V39" s="18" t="s">
        <v>8</v>
      </c>
      <c r="W39" s="14"/>
      <c r="X39" s="14"/>
      <c r="Y39" s="14"/>
      <c r="Z39" s="14"/>
      <c r="AA39" s="14"/>
      <c r="AB39" s="1"/>
      <c r="AC39" s="1"/>
    </row>
    <row r="40" spans="1:29" ht="11.1" customHeight="1" x14ac:dyDescent="0.25">
      <c r="A40" s="14"/>
      <c r="B40" s="18"/>
      <c r="C40" s="18"/>
      <c r="D40" s="18"/>
      <c r="E40" s="18"/>
      <c r="F40" s="25">
        <f>F37+F38/12</f>
        <v>2.2083333333333335</v>
      </c>
      <c r="G40" s="18" t="s">
        <v>10</v>
      </c>
      <c r="H40" s="18"/>
      <c r="I40" s="25">
        <f>I37+I38/12</f>
        <v>9</v>
      </c>
      <c r="J40" s="18" t="s">
        <v>10</v>
      </c>
      <c r="K40" s="18"/>
      <c r="L40" s="18"/>
      <c r="M40" s="25">
        <f>M37+M38/12</f>
        <v>2.875</v>
      </c>
      <c r="N40" s="18" t="s">
        <v>10</v>
      </c>
      <c r="O40" s="18"/>
      <c r="P40" s="18"/>
      <c r="Q40" s="18"/>
      <c r="R40" s="18"/>
      <c r="S40" s="14"/>
      <c r="T40" s="18" t="s">
        <v>50</v>
      </c>
      <c r="U40" s="21">
        <f>V13</f>
        <v>464.94696270009217</v>
      </c>
      <c r="V40" s="18" t="s">
        <v>8</v>
      </c>
      <c r="W40" s="14"/>
      <c r="X40" s="14"/>
      <c r="Y40" s="14"/>
      <c r="Z40" s="14"/>
      <c r="AA40" s="14"/>
      <c r="AB40" s="1"/>
      <c r="AC40" s="1"/>
    </row>
    <row r="41" spans="1:29" ht="11.1" customHeight="1" x14ac:dyDescent="0.25">
      <c r="A41" s="14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4"/>
      <c r="T41" s="14"/>
      <c r="U41" s="14"/>
      <c r="V41" s="14"/>
      <c r="W41" s="14"/>
      <c r="X41" s="14"/>
      <c r="Y41" s="14"/>
      <c r="Z41" s="14"/>
      <c r="AA41" s="14"/>
      <c r="AB41" s="1"/>
      <c r="AC41" s="1"/>
    </row>
    <row r="42" spans="1:29" ht="11.1" customHeight="1" x14ac:dyDescent="0.25">
      <c r="A42" s="14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4"/>
      <c r="T42" s="6" t="s">
        <v>51</v>
      </c>
      <c r="U42" s="6" t="s">
        <v>52</v>
      </c>
      <c r="V42" s="6" t="s">
        <v>53</v>
      </c>
      <c r="W42" s="40"/>
      <c r="X42" s="6" t="s">
        <v>54</v>
      </c>
      <c r="Y42" s="6" t="s">
        <v>55</v>
      </c>
      <c r="Z42" s="6" t="s">
        <v>56</v>
      </c>
      <c r="AA42" s="6" t="s">
        <v>57</v>
      </c>
      <c r="AB42" s="7" t="s">
        <v>58</v>
      </c>
      <c r="AC42" s="1"/>
    </row>
    <row r="43" spans="1:29" ht="11.1" customHeight="1" x14ac:dyDescent="0.25">
      <c r="A43" s="14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4"/>
      <c r="T43" s="8">
        <v>1</v>
      </c>
      <c r="U43" s="41">
        <f>X27</f>
        <v>2.2083333333333335</v>
      </c>
      <c r="V43" s="9">
        <f>IFERROR(AB43, "--")</f>
        <v>0.42035023824615686</v>
      </c>
      <c r="W43" s="18" t="s">
        <v>59</v>
      </c>
      <c r="X43" s="38">
        <f>(8*$U$39*$P$26^3)/($U$20*$U$21*U43)</f>
        <v>7.3376930872246166E-3</v>
      </c>
      <c r="Y43" s="38">
        <f>IF($U$24="YES",($U$39*$P$26)/(2*$U$22*1000),($U$39*$P$26)/($U$22*1000))</f>
        <v>3.8974809309875666E-2</v>
      </c>
      <c r="Z43" s="38">
        <v>0</v>
      </c>
      <c r="AA43" s="38">
        <f>$P$26*$U$23/U43</f>
        <v>0.37403773584905659</v>
      </c>
      <c r="AB43" s="10">
        <f>SUM(X43:AA43)</f>
        <v>0.42035023824615686</v>
      </c>
      <c r="AC43" s="1"/>
    </row>
    <row r="44" spans="1:29" ht="11.1" customHeight="1" x14ac:dyDescent="0.25">
      <c r="A44" s="14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4"/>
      <c r="T44" s="8">
        <v>2</v>
      </c>
      <c r="U44" s="41">
        <f>X28</f>
        <v>2.875</v>
      </c>
      <c r="V44" s="9">
        <f>IFERROR(AB44, "--")</f>
        <v>0.4203502382461568</v>
      </c>
      <c r="W44" s="18" t="s">
        <v>59</v>
      </c>
      <c r="X44" s="38">
        <f>(8*$U$40*$P$26^3)/($U$20*$U$21*U44)</f>
        <v>1.6809149745046811E-2</v>
      </c>
      <c r="Y44" s="38">
        <f>IF($U$24="YES",($U$40*$P$26)/(2*$U$22*1000),($U$40*$P$26)/($U$22*1000))</f>
        <v>0.11623674067502304</v>
      </c>
      <c r="Z44" s="38">
        <v>0</v>
      </c>
      <c r="AA44" s="38">
        <f>$P$26*$U$23/U44</f>
        <v>0.28730434782608694</v>
      </c>
      <c r="AB44" s="10">
        <f>SUM(X44:AA44)</f>
        <v>0.4203502382461568</v>
      </c>
      <c r="AC44" s="1"/>
    </row>
    <row r="45" spans="1:29" ht="11.1" customHeight="1" x14ac:dyDescent="0.25">
      <c r="A45" s="14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4"/>
      <c r="T45" s="18"/>
      <c r="U45" s="18"/>
      <c r="V45" s="18"/>
      <c r="W45" s="18"/>
      <c r="X45" s="18"/>
      <c r="Y45" s="18"/>
      <c r="Z45" s="18"/>
      <c r="AA45" s="14"/>
      <c r="AB45" s="1"/>
      <c r="AC45" s="1"/>
    </row>
    <row r="46" spans="1:29" ht="11.1" customHeight="1" x14ac:dyDescent="0.25">
      <c r="A46" s="14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4"/>
      <c r="T46" s="6" t="s">
        <v>60</v>
      </c>
      <c r="U46" s="6" t="s">
        <v>52</v>
      </c>
      <c r="V46" s="6" t="s">
        <v>53</v>
      </c>
      <c r="W46" s="40"/>
      <c r="X46" s="6" t="s">
        <v>54</v>
      </c>
      <c r="Y46" s="6" t="s">
        <v>55</v>
      </c>
      <c r="Z46" s="6" t="s">
        <v>56</v>
      </c>
      <c r="AA46" s="6" t="s">
        <v>57</v>
      </c>
      <c r="AB46" s="7" t="s">
        <v>58</v>
      </c>
      <c r="AC46" s="1"/>
    </row>
    <row r="47" spans="1:29" ht="11.1" customHeight="1" x14ac:dyDescent="0.25">
      <c r="A47" s="14"/>
      <c r="B47" s="46" t="s">
        <v>63</v>
      </c>
      <c r="C47" s="45" t="s">
        <v>64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8">
        <v>1</v>
      </c>
      <c r="U47" s="41">
        <f>K4</f>
        <v>14.083333333333334</v>
      </c>
      <c r="V47" s="9">
        <f>IFERROR(AB47, "--")</f>
        <v>1.7215933924973524E-2</v>
      </c>
      <c r="W47" s="18" t="s">
        <v>59</v>
      </c>
      <c r="X47" s="38">
        <f>(8*$V$3*$P$12^3)/($U$20*$U$21*U47)</f>
        <v>1.6437010417893441E-4</v>
      </c>
      <c r="Y47" s="38">
        <f>IF($U$24="YES",($V$3*$P$12)/(2*$U$22*1000),($V$3*$P$12)/($U$22*1000))</f>
        <v>1.7051563820794591E-2</v>
      </c>
      <c r="Z47" s="38">
        <v>0</v>
      </c>
      <c r="AA47" s="38">
        <v>0</v>
      </c>
      <c r="AB47" s="10">
        <f>SUM(X47:AA47)</f>
        <v>1.7215933924973524E-2</v>
      </c>
      <c r="AC47" s="1"/>
    </row>
    <row r="48" spans="1:29" ht="11.1" customHeight="1" x14ac:dyDescent="0.25">
      <c r="A48" s="14"/>
      <c r="C48" s="45" t="s">
        <v>65</v>
      </c>
      <c r="D48" s="14"/>
      <c r="E48" s="14"/>
      <c r="F48" s="14"/>
      <c r="G48" s="14"/>
      <c r="H48" s="14"/>
      <c r="I48" s="14"/>
      <c r="J48" s="14"/>
      <c r="S48" s="14"/>
      <c r="T48" s="18"/>
      <c r="U48" s="43"/>
      <c r="V48" s="43"/>
      <c r="W48" s="14"/>
      <c r="X48" s="14"/>
      <c r="Y48" s="14"/>
      <c r="Z48" s="18"/>
      <c r="AA48" s="14"/>
      <c r="AB48" s="1"/>
      <c r="AC48" s="1"/>
    </row>
    <row r="49" spans="1:29" ht="11.1" customHeight="1" x14ac:dyDescent="0.25">
      <c r="A49" s="14"/>
      <c r="B49" s="14"/>
      <c r="C49" s="45" t="s">
        <v>68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8"/>
      <c r="U49" s="43"/>
      <c r="V49" s="43"/>
      <c r="W49" s="14"/>
      <c r="X49" s="14"/>
      <c r="Y49" s="14"/>
      <c r="Z49" s="14"/>
      <c r="AA49" s="14"/>
      <c r="AB49" s="1"/>
      <c r="AC49" s="1"/>
    </row>
    <row r="50" spans="1:29" ht="11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42" t="s">
        <v>61</v>
      </c>
      <c r="L50" s="42"/>
      <c r="M50" s="42"/>
      <c r="N50" s="42"/>
      <c r="O50" s="42"/>
      <c r="P50" s="42"/>
      <c r="Q50" s="42"/>
      <c r="R50" s="11" t="s">
        <v>62</v>
      </c>
      <c r="S50" s="1"/>
      <c r="T50" s="3"/>
      <c r="U50" s="4"/>
      <c r="V50" s="3"/>
      <c r="W50" s="3"/>
      <c r="X50" s="4"/>
      <c r="Y50" s="3"/>
      <c r="Z50" s="12"/>
      <c r="AA50" s="1"/>
      <c r="AB50" s="1"/>
      <c r="AC50" s="1"/>
    </row>
    <row r="51" spans="1:29" ht="11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3"/>
      <c r="U51" s="5"/>
      <c r="V51" s="3"/>
      <c r="W51" s="3"/>
      <c r="X51" s="5"/>
      <c r="Y51" s="3"/>
      <c r="Z51" s="1"/>
      <c r="AA51" s="1"/>
      <c r="AB51" s="1"/>
      <c r="AC51" s="1"/>
    </row>
    <row r="52" spans="1:29" ht="11.1" customHeight="1" x14ac:dyDescent="0.25"/>
    <row r="53" spans="1:29" ht="11.1" customHeight="1" x14ac:dyDescent="0.25"/>
    <row r="54" spans="1:29" ht="11.1" customHeight="1" x14ac:dyDescent="0.25"/>
    <row r="55" spans="1:29" ht="11.1" customHeight="1" x14ac:dyDescent="0.25"/>
    <row r="56" spans="1:29" ht="11.25" customHeight="1" x14ac:dyDescent="0.25"/>
    <row r="57" spans="1:29" ht="11.25" customHeight="1" x14ac:dyDescent="0.25"/>
    <row r="58" spans="1:29" ht="11.25" customHeight="1" x14ac:dyDescent="0.25"/>
    <row r="59" spans="1:29" ht="11.25" customHeight="1" x14ac:dyDescent="0.25"/>
    <row r="60" spans="1:29" ht="11.25" customHeight="1" x14ac:dyDescent="0.25"/>
    <row r="61" spans="1:29" ht="11.25" customHeight="1" x14ac:dyDescent="0.25"/>
    <row r="62" spans="1:29" ht="11.25" customHeight="1" x14ac:dyDescent="0.25"/>
    <row r="63" spans="1:29" ht="11.25" customHeight="1" x14ac:dyDescent="0.25"/>
    <row r="64" spans="1:29" ht="11.25" customHeight="1" x14ac:dyDescent="0.25"/>
    <row r="65" ht="11.25" customHeight="1" x14ac:dyDescent="0.25"/>
    <row r="66" ht="11.25" customHeight="1" x14ac:dyDescent="0.25"/>
    <row r="67" ht="11.25" customHeight="1" x14ac:dyDescent="0.25"/>
  </sheetData>
  <mergeCells count="2">
    <mergeCell ref="I15:J15"/>
    <mergeCell ref="I24:J24"/>
  </mergeCells>
  <dataValidations disablePrompts="1" count="1">
    <dataValidation type="list" allowBlank="1" showInputMessage="1" showErrorMessage="1" sqref="U24">
      <formula1>"NO,YES"</formula1>
    </dataValidation>
  </dataValidations>
  <pageMargins left="0.5" right="0.5" top="0.75" bottom="0.25" header="0" footer="0"/>
  <pageSetup orientation="landscape" r:id="rId1"/>
  <ignoredErrors>
    <ignoredError sqref="F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Medeek Design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P. Wilkerson</dc:creator>
  <cp:lastModifiedBy>Nathaniel P. Wilkerson</cp:lastModifiedBy>
  <dcterms:created xsi:type="dcterms:W3CDTF">2015-08-19T06:05:34Z</dcterms:created>
  <dcterms:modified xsi:type="dcterms:W3CDTF">2015-08-19T19:00:55Z</dcterms:modified>
</cp:coreProperties>
</file>